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9"/>
  <workbookPr/>
  <mc:AlternateContent xmlns:mc="http://schemas.openxmlformats.org/markup-compatibility/2006">
    <mc:Choice Requires="x15">
      <x15ac:absPath xmlns:x15ac="http://schemas.microsoft.com/office/spreadsheetml/2010/11/ac" url="E:\ตลาดปศุสัตว์\67\"/>
    </mc:Choice>
  </mc:AlternateContent>
  <xr:revisionPtr revIDLastSave="0" documentId="13_ncr:1_{79993AA0-3220-40C6-9CA7-A0B58AA95D43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ต.ค." sheetId="30" r:id="rId1"/>
    <sheet name="พ.ย." sheetId="31" r:id="rId2"/>
    <sheet name="ธ.ค." sheetId="42" r:id="rId3"/>
    <sheet name="ม.ค." sheetId="33" r:id="rId4"/>
    <sheet name="กพ" sheetId="34" r:id="rId5"/>
    <sheet name="มี.ค" sheetId="35" r:id="rId6"/>
    <sheet name="เมษ" sheetId="37" r:id="rId7"/>
    <sheet name="พ.ค." sheetId="36" r:id="rId8"/>
    <sheet name="มิ.ย." sheetId="38" r:id="rId9"/>
    <sheet name="ก.ค." sheetId="39" r:id="rId10"/>
    <sheet name="ส.ค" sheetId="40" r:id="rId11"/>
    <sheet name="ก.ย." sheetId="41" r:id="rId12"/>
  </sheets>
  <definedNames>
    <definedName name="_xlnm.Print_Area" localSheetId="11">'ก.ย.'!$A$1:$T$34</definedName>
    <definedName name="_xlnm.Print_Area" localSheetId="4">กพ!$A$1:$T$21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34" l="1"/>
  <c r="M21" i="34"/>
  <c r="L21" i="34"/>
  <c r="K21" i="34"/>
  <c r="J21" i="34"/>
  <c r="I21" i="34"/>
  <c r="H21" i="34"/>
  <c r="G21" i="34"/>
  <c r="F21" i="34"/>
  <c r="E21" i="34"/>
  <c r="D21" i="34"/>
  <c r="C21" i="34"/>
  <c r="B21" i="34"/>
  <c r="F20" i="34"/>
  <c r="G20" i="34"/>
  <c r="H20" i="34"/>
  <c r="I20" i="34"/>
  <c r="J20" i="34"/>
  <c r="K20" i="34"/>
  <c r="L20" i="34"/>
  <c r="M20" i="34"/>
  <c r="N20" i="34"/>
  <c r="O20" i="34"/>
  <c r="P20" i="34"/>
  <c r="Q20" i="34"/>
  <c r="R20" i="34"/>
  <c r="S20" i="34"/>
  <c r="T20" i="34"/>
  <c r="E20" i="34"/>
  <c r="C20" i="34"/>
  <c r="D20" i="34"/>
  <c r="B20" i="34"/>
  <c r="T14" i="33"/>
  <c r="S14" i="33"/>
  <c r="R14" i="33"/>
  <c r="Q14" i="33"/>
  <c r="P14" i="33"/>
  <c r="O14" i="33"/>
  <c r="N21" i="42" l="1"/>
  <c r="M21" i="42"/>
  <c r="L21" i="42"/>
  <c r="K21" i="42"/>
  <c r="J21" i="42"/>
  <c r="I21" i="42"/>
  <c r="F21" i="42"/>
  <c r="E21" i="42"/>
  <c r="D21" i="42"/>
  <c r="C21" i="42"/>
  <c r="C20" i="42"/>
  <c r="B21" i="42"/>
  <c r="T20" i="42"/>
  <c r="Q20" i="42"/>
  <c r="N20" i="42"/>
  <c r="M20" i="42"/>
  <c r="L20" i="42"/>
  <c r="K20" i="42"/>
  <c r="J20" i="42"/>
  <c r="F20" i="42"/>
  <c r="E20" i="42"/>
  <c r="D20" i="42"/>
  <c r="B20" i="42"/>
  <c r="H21" i="42"/>
  <c r="S20" i="42"/>
  <c r="R20" i="42"/>
  <c r="P20" i="42"/>
  <c r="O20" i="42"/>
  <c r="I20" i="42"/>
  <c r="H20" i="42"/>
  <c r="G20" i="42"/>
  <c r="T21" i="31" l="1"/>
  <c r="Q21" i="31"/>
  <c r="O21" i="31"/>
  <c r="N21" i="31"/>
  <c r="M21" i="31"/>
  <c r="L21" i="31"/>
  <c r="K21" i="31"/>
  <c r="J21" i="31"/>
  <c r="I21" i="31"/>
  <c r="H21" i="31"/>
  <c r="F21" i="31"/>
  <c r="E21" i="31"/>
  <c r="D21" i="31"/>
  <c r="C21" i="31"/>
  <c r="B21" i="31"/>
  <c r="D20" i="31"/>
  <c r="B20" i="31"/>
  <c r="N21" i="30" l="1"/>
  <c r="O20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B20" i="30"/>
  <c r="N21" i="38" l="1"/>
  <c r="M21" i="38"/>
  <c r="L21" i="38"/>
  <c r="K21" i="38"/>
  <c r="J21" i="38"/>
  <c r="I21" i="38"/>
  <c r="F21" i="38"/>
  <c r="E21" i="38"/>
  <c r="D21" i="38"/>
  <c r="C21" i="38"/>
  <c r="B21" i="38"/>
  <c r="T21" i="33" l="1"/>
  <c r="N20" i="33"/>
  <c r="M20" i="33"/>
  <c r="L20" i="33"/>
  <c r="K20" i="33"/>
  <c r="J20" i="33"/>
  <c r="I20" i="33"/>
  <c r="F20" i="33"/>
  <c r="E20" i="33"/>
  <c r="C20" i="33"/>
  <c r="D20" i="33"/>
  <c r="B20" i="33"/>
  <c r="T20" i="30" l="1"/>
  <c r="C20" i="30"/>
  <c r="D20" i="30"/>
  <c r="E20" i="30"/>
  <c r="F20" i="30"/>
  <c r="G20" i="30"/>
  <c r="H20" i="30"/>
  <c r="I20" i="30"/>
  <c r="J20" i="30"/>
  <c r="K20" i="30"/>
  <c r="L20" i="30"/>
  <c r="M20" i="30"/>
  <c r="N20" i="30"/>
  <c r="P20" i="30"/>
  <c r="Q20" i="30"/>
  <c r="R20" i="30"/>
  <c r="S20" i="30"/>
  <c r="Q26" i="31" l="1"/>
  <c r="F20" i="31"/>
  <c r="C20" i="31"/>
  <c r="E20" i="31"/>
  <c r="G20" i="31"/>
  <c r="H20" i="31"/>
  <c r="I20" i="31"/>
  <c r="J20" i="31"/>
  <c r="K20" i="31"/>
  <c r="L20" i="31"/>
  <c r="M20" i="31"/>
  <c r="N20" i="31"/>
  <c r="S27" i="40" l="1"/>
  <c r="S27" i="39" l="1"/>
  <c r="S27" i="38" l="1"/>
  <c r="S27" i="36" l="1"/>
</calcChain>
</file>

<file path=xl/sharedStrings.xml><?xml version="1.0" encoding="utf-8"?>
<sst xmlns="http://schemas.openxmlformats.org/spreadsheetml/2006/main" count="908" uniqueCount="67">
  <si>
    <t>ผู้รายงาน................................................................</t>
  </si>
  <si>
    <t>(...............................................................)</t>
  </si>
  <si>
    <t>ตำแหน่ง................................................................</t>
  </si>
  <si>
    <t>วันที่.................................................................</t>
  </si>
  <si>
    <t>ศฐ.01</t>
  </si>
  <si>
    <t>อำเภอ</t>
  </si>
  <si>
    <t xml:space="preserve">ราคาสัตว์มีชีวิตที่เกษตรกรขายได้ ณ หน้าฟาร์ม </t>
  </si>
  <si>
    <t>โคเนื้อ</t>
  </si>
  <si>
    <t>โคขุน</t>
  </si>
  <si>
    <t>กระบือ</t>
  </si>
  <si>
    <t>สุกร</t>
  </si>
  <si>
    <t>แพะ</t>
  </si>
  <si>
    <t>แกะ</t>
  </si>
  <si>
    <t>ไก่เนื้อ</t>
  </si>
  <si>
    <t>ไก่พื้นเมือง</t>
  </si>
  <si>
    <t>เป็ดเนื้อ</t>
  </si>
  <si>
    <t>เป็ดเทศ</t>
  </si>
  <si>
    <t>ไข่ไก่</t>
  </si>
  <si>
    <t>ไข่เป็ด</t>
  </si>
  <si>
    <t>ตามอาชญาบัตรสัตว์</t>
  </si>
  <si>
    <t>คาดว่าถูกฆ่าจริง</t>
  </si>
  <si>
    <t>บาท/กก.</t>
  </si>
  <si>
    <t>อิสระ</t>
  </si>
  <si>
    <t>ประกันราคา</t>
  </si>
  <si>
    <t>(บาท/ฟอง)</t>
  </si>
  <si>
    <t>โค</t>
  </si>
  <si>
    <t>รวม/เฉลี่ย</t>
  </si>
  <si>
    <t>1. ราคาที่เกษตรกรขายได้ หมายถึงราคาขายสินค้าปศุสัตว์เพื่อนำไปเชือดและชำแหละเป็นเนื้อที่จำหน่าย ณ หน้าฟาร์มของเกษตรกร</t>
  </si>
  <si>
    <t>3. ราคาไข่ไก่และไข่เป็ด หมายถึงราคาไข่ที่เกษตรกรจำหน่าย ณ หน้าฟาร์ม และเป็นไข่ขนาดคละ</t>
  </si>
  <si>
    <t>4. ราคาที่เกษตรกรขายได้เฉลี่ยระดับจังหวัด หมายถึง ค่าเฉลี่ยของราคาที่เกษตรกรขายได้ในระดับอำเภอ</t>
  </si>
  <si>
    <t>จำนวนสัตว์ที่ถูกฆ่า (ตัว)</t>
  </si>
  <si>
    <t xml:space="preserve">หมายเหตุ: </t>
  </si>
  <si>
    <t>รายงานข้อมูลราคาสินค้าปศุสัตว์ที่เกษตรกรขายได้ ณ หน้าฟาร์ม และจำนวนสัตว์ที่ถูกฆ่า</t>
  </si>
  <si>
    <t>5. การคำนวณราคาฯ เฉลี่ยและรวมจำนวนสัตว์ที่ถูกฆ่า เจ้าหน้าที่ของจังหวัดไม่ต้องคำนวณ เพียงแค่บันทึกข้อมูลลงในระดับอำเภอเท่านั้น</t>
  </si>
  <si>
    <t>2. โคขุน หมายถึง โคเนื้อพันธุ์ลูกผสมที่มีเลือดยุโรป รวมทั้งพันธุ์ที่ปรับปรุงในประเทศไทยเพื่อต้องการเนื้อคุณภาพใกล้เคียงกับเนื้อนำเข้า นำมาขุนที่น้ำหนักตัว 250 กก. จนได้น้ำหนัก 550-600 กก. ในระยะเวลา 8-12 เดือน</t>
  </si>
  <si>
    <t xml:space="preserve">   หรือโคที่นำมาขุนเพียง 4-5 เดือน จนได้น้ำหนัก 450 กก.</t>
  </si>
  <si>
    <t>6. กรุณาส่งไฟล์ Excel ให้ศูนย์เทคโนโลยีสารสนเทศและการสื่อสาร กรมปศุสัตว์ โดยส่งมาที่ E-mail address: report_ict@dld.go.th</t>
  </si>
  <si>
    <t>เมืองกำแพงเพชร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</si>
  <si>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</si>
  <si>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</si>
  <si>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</si>
  <si>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</si>
  <si>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</si>
  <si>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</si>
  <si>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</si>
  <si>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</si>
  <si>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บึงสามัคคี</t>
  </si>
  <si>
    <t>โกสัมพีนคร</t>
  </si>
  <si>
    <t>สำนักงานปศุสัตว์จังหวัด......กำแพงเพชร........</t>
  </si>
  <si>
    <t xml:space="preserve"> -</t>
  </si>
  <si>
    <t>-</t>
  </si>
  <si>
    <t xml:space="preserve"> -   </t>
  </si>
  <si>
    <t xml:space="preserve">    -    </t>
  </si>
  <si>
    <t xml:space="preserve">    -      </t>
  </si>
  <si>
    <t>ประจำเดือน…พฤศจิกายน... พ.ศ. …2566</t>
  </si>
  <si>
    <t>ประจำเดือน…ตุลาคม... พ.ศ. …2566</t>
  </si>
  <si>
    <t>ประจำเดือน…ธันวาคม... พ.ศ. …2566</t>
  </si>
  <si>
    <t>ประจำเดือน…มกราคม... พ.ศ. …2567</t>
  </si>
  <si>
    <t>ประจำเดือน…กุมภาพันธ์... พ.ศ. …2567</t>
  </si>
  <si>
    <t>ประจำเดือน…มีนาคม... พ.ศ…2567…</t>
  </si>
  <si>
    <t>ประจำเดือน…เมษายน... พ.ศ…2567…</t>
  </si>
  <si>
    <t>ประจำเดือน…พฤษภาคม... พ.ศ…2567…</t>
  </si>
  <si>
    <t>ประจำเดือน…มิถุนายน.. พ.ศ…2567…</t>
  </si>
  <si>
    <t>ประจำเดือน…กรกฎาคม.. พ.ศ…2567…</t>
  </si>
  <si>
    <t>ประจำเดือน…สิงหาคม.. พ.ศ…2567…</t>
  </si>
  <si>
    <t>ประจำเดือน…กันยายน.. พ.ศ…2567…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</si>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</sst>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.00_ ;\-#,##0.00\ "/>
    <numFmt numFmtId="190" formatCode="_-* #,##0.0_-;\-* #,##0.0_-;_-* &quot;-&quot;??_-;_-@_-"/>
    <numFmt numFmtId="194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7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2" fillId="0" borderId="0" applyFont="0" applyFill="0" applyBorder="0" applyAlignment="0" applyProtection="0"/>
  </cellStyleXfs>
  <cellXfs count="157">
    <xf numFmtId="0" fontId="0" fillId="0" borderId="0" xfId="0"/>
    <xf numFmtId="0" fontId="4" fillId="0" borderId="4" xfId="4" applyFont="1" applyBorder="1" applyAlignment="1">
      <alignment horizontal="center"/>
    </xf>
    <xf numFmtId="41" fontId="5" fillId="0" borderId="0" xfId="0" applyNumberFormat="1" applyFont="1"/>
    <xf numFmtId="43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43" fontId="4" fillId="0" borderId="4" xfId="4" applyNumberFormat="1" applyFont="1" applyBorder="1" applyAlignment="1">
      <alignment horizontal="center"/>
    </xf>
    <xf numFmtId="187" fontId="4" fillId="0" borderId="4" xfId="4" applyNumberFormat="1" applyFont="1" applyBorder="1" applyAlignment="1">
      <alignment horizontal="center"/>
    </xf>
    <xf numFmtId="41" fontId="4" fillId="0" borderId="4" xfId="4" applyNumberFormat="1" applyFont="1" applyBorder="1" applyAlignment="1">
      <alignment horizontal="center"/>
    </xf>
    <xf numFmtId="1" fontId="4" fillId="0" borderId="4" xfId="4" applyNumberFormat="1" applyFont="1" applyBorder="1" applyAlignment="1">
      <alignment horizontal="center"/>
    </xf>
    <xf numFmtId="0" fontId="4" fillId="0" borderId="4" xfId="49" applyNumberFormat="1" applyFont="1" applyBorder="1" applyAlignment="1">
      <alignment horizontal="center"/>
    </xf>
    <xf numFmtId="0" fontId="4" fillId="0" borderId="10" xfId="51" applyNumberFormat="1" applyFont="1" applyBorder="1" applyAlignment="1">
      <alignment horizontal="left"/>
    </xf>
    <xf numFmtId="1" fontId="4" fillId="0" borderId="4" xfId="49" applyNumberFormat="1" applyFont="1" applyBorder="1" applyAlignment="1">
      <alignment horizontal="center"/>
    </xf>
    <xf numFmtId="188" fontId="4" fillId="0" borderId="4" xfId="61" applyNumberFormat="1" applyFont="1" applyFill="1" applyBorder="1"/>
    <xf numFmtId="189" fontId="4" fillId="0" borderId="4" xfId="61" applyNumberFormat="1" applyFont="1" applyFill="1" applyBorder="1"/>
    <xf numFmtId="188" fontId="4" fillId="0" borderId="4" xfId="61" applyNumberFormat="1" applyFont="1" applyFill="1" applyBorder="1" applyAlignment="1">
      <alignment horizontal="center"/>
    </xf>
    <xf numFmtId="189" fontId="4" fillId="0" borderId="4" xfId="61" applyNumberFormat="1" applyFont="1" applyFill="1" applyBorder="1" applyAlignment="1">
      <alignment horizontal="center"/>
    </xf>
    <xf numFmtId="0" fontId="4" fillId="0" borderId="11" xfId="4" applyFont="1" applyBorder="1" applyAlignment="1">
      <alignment horizontal="left"/>
    </xf>
    <xf numFmtId="0" fontId="4" fillId="0" borderId="10" xfId="4" applyFont="1" applyBorder="1" applyAlignment="1">
      <alignment horizontal="left"/>
    </xf>
    <xf numFmtId="43" fontId="4" fillId="0" borderId="10" xfId="67" applyFont="1" applyBorder="1" applyAlignment="1">
      <alignment horizontal="center"/>
    </xf>
    <xf numFmtId="0" fontId="4" fillId="0" borderId="13" xfId="4" applyFont="1" applyBorder="1" applyAlignment="1">
      <alignment horizontal="left"/>
    </xf>
    <xf numFmtId="0" fontId="4" fillId="0" borderId="10" xfId="67" applyNumberFormat="1" applyFont="1" applyBorder="1" applyAlignment="1">
      <alignment horizontal="center"/>
    </xf>
    <xf numFmtId="43" fontId="4" fillId="0" borderId="10" xfId="67" applyFont="1" applyBorder="1"/>
    <xf numFmtId="0" fontId="4" fillId="0" borderId="14" xfId="61" applyNumberFormat="1" applyFont="1" applyFill="1" applyBorder="1" applyAlignment="1">
      <alignment horizontal="center"/>
    </xf>
    <xf numFmtId="2" fontId="4" fillId="0" borderId="4" xfId="61" applyNumberFormat="1" applyFont="1" applyFill="1" applyBorder="1" applyAlignment="1">
      <alignment horizontal="center"/>
    </xf>
    <xf numFmtId="1" fontId="4" fillId="0" borderId="4" xfId="61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119" applyNumberFormat="1" applyFont="1" applyBorder="1" applyAlignment="1">
      <alignment horizontal="center"/>
    </xf>
    <xf numFmtId="0" fontId="4" fillId="0" borderId="10" xfId="123" applyNumberFormat="1" applyFont="1" applyBorder="1" applyAlignment="1">
      <alignment horizontal="center"/>
    </xf>
    <xf numFmtId="187" fontId="4" fillId="0" borderId="10" xfId="67" applyNumberFormat="1" applyFont="1" applyBorder="1" applyAlignment="1">
      <alignment horizontal="center"/>
    </xf>
    <xf numFmtId="187" fontId="4" fillId="0" borderId="10" xfId="67" applyNumberFormat="1" applyFont="1" applyBorder="1"/>
    <xf numFmtId="43" fontId="4" fillId="0" borderId="10" xfId="131" applyFont="1" applyBorder="1"/>
    <xf numFmtId="187" fontId="4" fillId="0" borderId="10" xfId="131" applyNumberFormat="1" applyFont="1" applyBorder="1"/>
    <xf numFmtId="0" fontId="4" fillId="0" borderId="10" xfId="131" applyNumberFormat="1" applyFont="1" applyBorder="1"/>
    <xf numFmtId="187" fontId="4" fillId="0" borderId="4" xfId="49" applyNumberFormat="1" applyFont="1" applyBorder="1" applyAlignment="1">
      <alignment horizontal="center"/>
    </xf>
    <xf numFmtId="0" fontId="4" fillId="0" borderId="4" xfId="131" applyNumberFormat="1" applyFont="1" applyBorder="1"/>
    <xf numFmtId="43" fontId="4" fillId="0" borderId="4" xfId="49" applyFont="1" applyBorder="1" applyAlignment="1">
      <alignment horizontal="center"/>
    </xf>
    <xf numFmtId="0" fontId="4" fillId="0" borderId="10" xfId="135" applyNumberFormat="1" applyFont="1" applyBorder="1" applyAlignment="1">
      <alignment horizontal="center"/>
    </xf>
    <xf numFmtId="43" fontId="4" fillId="0" borderId="10" xfId="135" applyFont="1" applyBorder="1"/>
    <xf numFmtId="43" fontId="4" fillId="0" borderId="10" xfId="135" applyFont="1" applyBorder="1" applyAlignment="1">
      <alignment horizontal="center"/>
    </xf>
    <xf numFmtId="187" fontId="4" fillId="0" borderId="10" xfId="135" applyNumberFormat="1" applyFont="1" applyBorder="1" applyAlignment="1">
      <alignment horizontal="center"/>
    </xf>
    <xf numFmtId="187" fontId="4" fillId="0" borderId="10" xfId="135" applyNumberFormat="1" applyFont="1" applyBorder="1"/>
    <xf numFmtId="187" fontId="4" fillId="0" borderId="12" xfId="137" applyNumberFormat="1" applyFont="1" applyBorder="1" applyAlignment="1">
      <alignment horizontal="center" vertical="center"/>
    </xf>
    <xf numFmtId="0" fontId="4" fillId="0" borderId="10" xfId="137" applyNumberFormat="1" applyFont="1" applyBorder="1" applyAlignment="1">
      <alignment horizontal="center"/>
    </xf>
    <xf numFmtId="43" fontId="4" fillId="0" borderId="12" xfId="137" applyFont="1" applyBorder="1" applyAlignment="1">
      <alignment horizontal="center"/>
    </xf>
    <xf numFmtId="43" fontId="4" fillId="0" borderId="12" xfId="137" applyFont="1" applyBorder="1" applyAlignment="1">
      <alignment horizontal="center" vertical="center"/>
    </xf>
    <xf numFmtId="43" fontId="4" fillId="0" borderId="12" xfId="137" applyFont="1" applyBorder="1" applyAlignment="1">
      <alignment horizontal="right"/>
    </xf>
    <xf numFmtId="43" fontId="4" fillId="0" borderId="10" xfId="139" applyFont="1" applyBorder="1"/>
    <xf numFmtId="43" fontId="4" fillId="0" borderId="10" xfId="139" applyFont="1" applyBorder="1" applyAlignment="1">
      <alignment horizontal="center"/>
    </xf>
    <xf numFmtId="0" fontId="4" fillId="0" borderId="10" xfId="139" applyNumberFormat="1" applyFont="1" applyBorder="1" applyAlignment="1">
      <alignment horizontal="center"/>
    </xf>
    <xf numFmtId="187" fontId="4" fillId="0" borderId="10" xfId="139" applyNumberFormat="1" applyFont="1" applyBorder="1" applyAlignment="1">
      <alignment horizontal="center"/>
    </xf>
    <xf numFmtId="187" fontId="4" fillId="0" borderId="10" xfId="139" applyNumberFormat="1" applyFont="1" applyBorder="1"/>
    <xf numFmtId="43" fontId="4" fillId="0" borderId="10" xfId="141" applyFont="1" applyBorder="1" applyAlignment="1">
      <alignment vertical="center"/>
    </xf>
    <xf numFmtId="43" fontId="4" fillId="0" borderId="10" xfId="141" applyFont="1" applyBorder="1"/>
    <xf numFmtId="43" fontId="4" fillId="0" borderId="10" xfId="141" applyFont="1" applyBorder="1" applyAlignment="1">
      <alignment horizontal="center"/>
    </xf>
    <xf numFmtId="0" fontId="4" fillId="0" borderId="10" xfId="141" applyNumberFormat="1" applyFont="1" applyBorder="1"/>
    <xf numFmtId="0" fontId="4" fillId="0" borderId="10" xfId="141" applyNumberFormat="1" applyFont="1" applyBorder="1" applyAlignment="1">
      <alignment horizontal="center"/>
    </xf>
    <xf numFmtId="187" fontId="4" fillId="0" borderId="10" xfId="141" applyNumberFormat="1" applyFont="1" applyBorder="1" applyAlignment="1">
      <alignment horizontal="center"/>
    </xf>
    <xf numFmtId="187" fontId="4" fillId="0" borderId="10" xfId="141" applyNumberFormat="1" applyFont="1" applyBorder="1"/>
    <xf numFmtId="43" fontId="4" fillId="0" borderId="10" xfId="67" applyFont="1" applyBorder="1" applyAlignment="1">
      <alignment horizontal="center" vertical="center"/>
    </xf>
    <xf numFmtId="43" fontId="4" fillId="0" borderId="10" xfId="67" applyFont="1" applyBorder="1" applyAlignment="1">
      <alignment horizontal="right"/>
    </xf>
    <xf numFmtId="43" fontId="4" fillId="0" borderId="10" xfId="143" applyFont="1" applyBorder="1" applyAlignment="1">
      <alignment horizontal="center"/>
    </xf>
    <xf numFmtId="187" fontId="4" fillId="0" borderId="10" xfId="143" applyNumberFormat="1" applyFont="1" applyBorder="1" applyAlignment="1">
      <alignment horizontal="center" vertical="center"/>
    </xf>
    <xf numFmtId="187" fontId="4" fillId="0" borderId="10" xfId="143" applyNumberFormat="1" applyFont="1" applyBorder="1" applyAlignment="1">
      <alignment horizontal="center"/>
    </xf>
    <xf numFmtId="0" fontId="4" fillId="0" borderId="10" xfId="143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3" fontId="4" fillId="0" borderId="0" xfId="0" applyNumberFormat="1" applyFont="1"/>
    <xf numFmtId="187" fontId="4" fillId="0" borderId="12" xfId="67" applyNumberFormat="1" applyFont="1" applyBorder="1" applyAlignment="1">
      <alignment horizontal="center"/>
    </xf>
    <xf numFmtId="187" fontId="4" fillId="0" borderId="10" xfId="147" applyNumberFormat="1" applyFont="1" applyBorder="1" applyAlignment="1">
      <alignment horizontal="center"/>
    </xf>
    <xf numFmtId="187" fontId="4" fillId="0" borderId="12" xfId="147" applyNumberFormat="1" applyFont="1" applyBorder="1" applyAlignment="1">
      <alignment horizontal="center"/>
    </xf>
    <xf numFmtId="187" fontId="4" fillId="2" borderId="10" xfId="147" applyNumberFormat="1" applyFont="1" applyFill="1" applyBorder="1" applyAlignment="1">
      <alignment horizontal="center"/>
    </xf>
    <xf numFmtId="187" fontId="4" fillId="0" borderId="10" xfId="147" applyNumberFormat="1" applyFont="1" applyBorder="1"/>
    <xf numFmtId="187" fontId="4" fillId="0" borderId="10" xfId="147" applyNumberFormat="1" applyFont="1" applyBorder="1" applyAlignment="1">
      <alignment vertical="center"/>
    </xf>
    <xf numFmtId="187" fontId="4" fillId="0" borderId="12" xfId="67" applyNumberFormat="1" applyFont="1" applyBorder="1" applyAlignment="1">
      <alignment horizontal="right"/>
    </xf>
    <xf numFmtId="187" fontId="4" fillId="0" borderId="3" xfId="0" applyNumberFormat="1" applyFont="1" applyBorder="1" applyAlignment="1">
      <alignment horizontal="center"/>
    </xf>
    <xf numFmtId="187" fontId="4" fillId="0" borderId="10" xfId="67" applyNumberFormat="1" applyFont="1" applyBorder="1" applyAlignment="1">
      <alignment horizontal="center" vertical="center"/>
    </xf>
    <xf numFmtId="0" fontId="4" fillId="0" borderId="10" xfId="149" applyNumberFormat="1" applyFont="1" applyBorder="1" applyAlignment="1">
      <alignment horizontal="center"/>
    </xf>
    <xf numFmtId="0" fontId="4" fillId="0" borderId="10" xfId="151" applyNumberFormat="1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43" fontId="4" fillId="0" borderId="10" xfId="151" applyFont="1" applyBorder="1" applyAlignment="1">
      <alignment horizontal="center"/>
    </xf>
    <xf numFmtId="43" fontId="4" fillId="0" borderId="10" xfId="151" applyFont="1" applyBorder="1"/>
    <xf numFmtId="187" fontId="4" fillId="0" borderId="10" xfId="151" applyNumberFormat="1" applyFont="1" applyBorder="1" applyAlignment="1">
      <alignment horizontal="center"/>
    </xf>
    <xf numFmtId="187" fontId="4" fillId="0" borderId="10" xfId="151" applyNumberFormat="1" applyFont="1" applyBorder="1"/>
    <xf numFmtId="190" fontId="4" fillId="0" borderId="12" xfId="153" applyNumberFormat="1" applyFont="1" applyBorder="1" applyAlignment="1">
      <alignment horizontal="center"/>
    </xf>
    <xf numFmtId="190" fontId="4" fillId="0" borderId="10" xfId="153" applyNumberFormat="1" applyFont="1" applyBorder="1" applyAlignment="1">
      <alignment horizontal="center"/>
    </xf>
    <xf numFmtId="43" fontId="4" fillId="0" borderId="10" xfId="153" applyFont="1" applyBorder="1"/>
    <xf numFmtId="43" fontId="4" fillId="0" borderId="10" xfId="153" applyFont="1" applyBorder="1" applyAlignment="1">
      <alignment horizontal="center"/>
    </xf>
    <xf numFmtId="0" fontId="4" fillId="0" borderId="10" xfId="153" applyNumberFormat="1" applyFont="1" applyBorder="1" applyAlignment="1">
      <alignment horizontal="center"/>
    </xf>
    <xf numFmtId="43" fontId="4" fillId="0" borderId="12" xfId="153" applyFont="1" applyBorder="1" applyAlignment="1">
      <alignment horizontal="center"/>
    </xf>
    <xf numFmtId="43" fontId="4" fillId="0" borderId="12" xfId="153" applyFont="1" applyBorder="1" applyAlignment="1">
      <alignment horizontal="center" vertical="center"/>
    </xf>
    <xf numFmtId="187" fontId="4" fillId="0" borderId="10" xfId="153" applyNumberFormat="1" applyFont="1" applyBorder="1" applyAlignment="1">
      <alignment horizontal="center"/>
    </xf>
    <xf numFmtId="187" fontId="4" fillId="0" borderId="10" xfId="153" applyNumberFormat="1" applyFont="1" applyBorder="1"/>
    <xf numFmtId="43" fontId="4" fillId="0" borderId="12" xfId="153" applyFont="1" applyBorder="1" applyAlignment="1">
      <alignment horizontal="right"/>
    </xf>
    <xf numFmtId="187" fontId="4" fillId="0" borderId="10" xfId="155" applyNumberFormat="1" applyFont="1" applyBorder="1" applyAlignment="1">
      <alignment horizontal="center"/>
    </xf>
    <xf numFmtId="43" fontId="4" fillId="0" borderId="10" xfId="155" applyFont="1" applyBorder="1"/>
    <xf numFmtId="43" fontId="4" fillId="0" borderId="10" xfId="155" applyFont="1" applyBorder="1" applyAlignment="1">
      <alignment horizontal="center"/>
    </xf>
    <xf numFmtId="0" fontId="4" fillId="0" borderId="10" xfId="155" applyNumberFormat="1" applyFont="1" applyBorder="1" applyAlignment="1">
      <alignment horizontal="center"/>
    </xf>
    <xf numFmtId="187" fontId="4" fillId="0" borderId="10" xfId="155" applyNumberFormat="1" applyFont="1" applyBorder="1" applyAlignment="1">
      <alignment horizontal="center" vertical="center"/>
    </xf>
    <xf numFmtId="0" fontId="4" fillId="0" borderId="11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187" fontId="4" fillId="0" borderId="10" xfId="157" applyNumberFormat="1" applyFont="1" applyBorder="1" applyAlignment="1">
      <alignment horizontal="center" vertical="center"/>
    </xf>
    <xf numFmtId="43" fontId="4" fillId="0" borderId="12" xfId="157" applyFont="1" applyBorder="1" applyAlignment="1">
      <alignment horizontal="right"/>
    </xf>
    <xf numFmtId="43" fontId="4" fillId="0" borderId="12" xfId="157" applyFont="1" applyBorder="1" applyAlignment="1"/>
    <xf numFmtId="43" fontId="4" fillId="0" borderId="10" xfId="157" applyFont="1" applyBorder="1"/>
    <xf numFmtId="43" fontId="4" fillId="0" borderId="10" xfId="157" applyFont="1" applyBorder="1" applyAlignment="1">
      <alignment horizontal="center"/>
    </xf>
    <xf numFmtId="43" fontId="4" fillId="0" borderId="12" xfId="157" applyFont="1" applyBorder="1" applyAlignment="1">
      <alignment horizontal="center"/>
    </xf>
    <xf numFmtId="43" fontId="4" fillId="0" borderId="12" xfId="157" applyFont="1" applyBorder="1" applyAlignment="1">
      <alignment horizontal="center" vertical="center"/>
    </xf>
    <xf numFmtId="0" fontId="4" fillId="0" borderId="10" xfId="157" applyNumberFormat="1" applyFont="1" applyBorder="1" applyAlignment="1">
      <alignment horizontal="center"/>
    </xf>
    <xf numFmtId="187" fontId="4" fillId="0" borderId="10" xfId="157" applyNumberFormat="1" applyFont="1" applyBorder="1" applyAlignment="1">
      <alignment horizontal="center"/>
    </xf>
    <xf numFmtId="43" fontId="4" fillId="0" borderId="11" xfId="159" applyFont="1" applyBorder="1"/>
    <xf numFmtId="0" fontId="4" fillId="0" borderId="11" xfId="159" applyNumberFormat="1" applyFont="1" applyBorder="1" applyAlignment="1">
      <alignment horizontal="center"/>
    </xf>
    <xf numFmtId="187" fontId="4" fillId="0" borderId="11" xfId="159" applyNumberFormat="1" applyFont="1" applyBorder="1" applyAlignment="1">
      <alignment horizontal="center"/>
    </xf>
    <xf numFmtId="0" fontId="4" fillId="0" borderId="10" xfId="159" applyNumberFormat="1" applyFont="1" applyBorder="1" applyAlignment="1">
      <alignment horizontal="center"/>
    </xf>
    <xf numFmtId="187" fontId="4" fillId="0" borderId="10" xfId="159" applyNumberFormat="1" applyFont="1" applyBorder="1" applyAlignment="1">
      <alignment horizontal="center" vertical="center"/>
    </xf>
    <xf numFmtId="43" fontId="4" fillId="0" borderId="10" xfId="159" applyFont="1" applyBorder="1"/>
    <xf numFmtId="43" fontId="4" fillId="0" borderId="10" xfId="159" applyFont="1" applyBorder="1" applyAlignment="1">
      <alignment horizontal="center"/>
    </xf>
    <xf numFmtId="43" fontId="4" fillId="0" borderId="10" xfId="159" applyFont="1" applyBorder="1" applyAlignment="1">
      <alignment horizontal="center" vertical="center"/>
    </xf>
    <xf numFmtId="43" fontId="4" fillId="0" borderId="11" xfId="159" applyFont="1" applyBorder="1" applyAlignment="1">
      <alignment horizontal="center"/>
    </xf>
    <xf numFmtId="187" fontId="4" fillId="0" borderId="12" xfId="161" applyNumberFormat="1" applyFont="1" applyBorder="1" applyAlignment="1">
      <alignment horizontal="center"/>
    </xf>
    <xf numFmtId="187" fontId="4" fillId="0" borderId="10" xfId="161" applyNumberFormat="1" applyFont="1" applyBorder="1" applyAlignment="1">
      <alignment horizontal="center"/>
    </xf>
    <xf numFmtId="43" fontId="4" fillId="0" borderId="12" xfId="161" applyFont="1" applyBorder="1" applyAlignment="1">
      <alignment horizontal="right"/>
    </xf>
    <xf numFmtId="43" fontId="4" fillId="0" borderId="12" xfId="161" applyFont="1" applyBorder="1" applyAlignment="1"/>
    <xf numFmtId="0" fontId="4" fillId="0" borderId="10" xfId="161" applyNumberFormat="1" applyFont="1" applyBorder="1" applyAlignment="1">
      <alignment horizontal="center"/>
    </xf>
    <xf numFmtId="43" fontId="4" fillId="0" borderId="10" xfId="161" applyFont="1" applyBorder="1"/>
    <xf numFmtId="43" fontId="4" fillId="0" borderId="10" xfId="161" applyFont="1" applyBorder="1" applyAlignment="1">
      <alignment horizontal="center"/>
    </xf>
    <xf numFmtId="43" fontId="4" fillId="0" borderId="12" xfId="161" applyFont="1" applyBorder="1" applyAlignment="1">
      <alignment horizontal="center"/>
    </xf>
    <xf numFmtId="43" fontId="4" fillId="0" borderId="12" xfId="161" applyFont="1" applyBorder="1" applyAlignment="1">
      <alignment horizontal="center" vertical="center"/>
    </xf>
    <xf numFmtId="43" fontId="4" fillId="0" borderId="10" xfId="165" applyFont="1" applyBorder="1"/>
    <xf numFmtId="43" fontId="4" fillId="0" borderId="10" xfId="165" applyFont="1" applyBorder="1" applyAlignment="1">
      <alignment horizontal="center"/>
    </xf>
    <xf numFmtId="0" fontId="4" fillId="0" borderId="10" xfId="165" applyNumberFormat="1" applyFont="1" applyBorder="1" applyAlignment="1">
      <alignment horizontal="center"/>
    </xf>
    <xf numFmtId="187" fontId="4" fillId="0" borderId="10" xfId="165" applyNumberFormat="1" applyFont="1" applyBorder="1" applyAlignment="1">
      <alignment horizontal="center"/>
    </xf>
    <xf numFmtId="43" fontId="4" fillId="0" borderId="10" xfId="167" applyFont="1" applyBorder="1"/>
    <xf numFmtId="43" fontId="4" fillId="0" borderId="10" xfId="167" applyFont="1" applyBorder="1" applyAlignment="1">
      <alignment horizontal="center"/>
    </xf>
    <xf numFmtId="0" fontId="4" fillId="0" borderId="10" xfId="167" applyNumberFormat="1" applyFont="1" applyBorder="1" applyAlignment="1">
      <alignment horizontal="center"/>
    </xf>
    <xf numFmtId="0" fontId="4" fillId="0" borderId="10" xfId="169" applyNumberFormat="1" applyFont="1" applyBorder="1" applyAlignment="1">
      <alignment horizontal="center"/>
    </xf>
    <xf numFmtId="43" fontId="4" fillId="0" borderId="10" xfId="169" applyFont="1" applyBorder="1" applyAlignment="1">
      <alignment horizontal="center"/>
    </xf>
    <xf numFmtId="187" fontId="4" fillId="0" borderId="10" xfId="169" applyNumberFormat="1" applyFont="1" applyBorder="1" applyAlignment="1">
      <alignment horizontal="center" vertical="center"/>
    </xf>
    <xf numFmtId="0" fontId="4" fillId="0" borderId="10" xfId="173" applyNumberFormat="1" applyFont="1" applyBorder="1" applyAlignment="1">
      <alignment horizontal="center"/>
    </xf>
    <xf numFmtId="43" fontId="4" fillId="0" borderId="10" xfId="173" applyFont="1" applyBorder="1"/>
    <xf numFmtId="43" fontId="4" fillId="0" borderId="10" xfId="173" applyFont="1" applyBorder="1" applyAlignment="1">
      <alignment horizontal="center"/>
    </xf>
    <xf numFmtId="187" fontId="4" fillId="0" borderId="10" xfId="173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77">
    <cellStyle name="Comma 2" xfId="2" xr:uid="{00000000-0005-0000-0000-000000000000}"/>
    <cellStyle name="Comma 2 10" xfId="22" xr:uid="{00000000-0005-0000-0000-000001000000}"/>
    <cellStyle name="Comma 2 11" xfId="25" xr:uid="{00000000-0005-0000-0000-000002000000}"/>
    <cellStyle name="Comma 2 12" xfId="27" xr:uid="{00000000-0005-0000-0000-000003000000}"/>
    <cellStyle name="Comma 2 13" xfId="29" xr:uid="{00000000-0005-0000-0000-000004000000}"/>
    <cellStyle name="Comma 2 14" xfId="31" xr:uid="{00000000-0005-0000-0000-000005000000}"/>
    <cellStyle name="Comma 2 15" xfId="33" xr:uid="{00000000-0005-0000-0000-000006000000}"/>
    <cellStyle name="Comma 2 16" xfId="35" xr:uid="{00000000-0005-0000-0000-000007000000}"/>
    <cellStyle name="Comma 2 17" xfId="37" xr:uid="{00000000-0005-0000-0000-000008000000}"/>
    <cellStyle name="Comma 2 18" xfId="39" xr:uid="{00000000-0005-0000-0000-000009000000}"/>
    <cellStyle name="Comma 2 19" xfId="42" xr:uid="{00000000-0005-0000-0000-00000A000000}"/>
    <cellStyle name="Comma 2 2" xfId="6" xr:uid="{00000000-0005-0000-0000-00000B000000}"/>
    <cellStyle name="Comma 2 20" xfId="44" xr:uid="{00000000-0005-0000-0000-00000C000000}"/>
    <cellStyle name="Comma 2 21" xfId="46" xr:uid="{00000000-0005-0000-0000-00000D000000}"/>
    <cellStyle name="Comma 2 22" xfId="48" xr:uid="{00000000-0005-0000-0000-00000E000000}"/>
    <cellStyle name="Comma 2 23" xfId="50" xr:uid="{00000000-0005-0000-0000-00000F000000}"/>
    <cellStyle name="Comma 2 24" xfId="52" xr:uid="{00000000-0005-0000-0000-000010000000}"/>
    <cellStyle name="Comma 2 25" xfId="54" xr:uid="{00000000-0005-0000-0000-000011000000}"/>
    <cellStyle name="Comma 2 26" xfId="56" xr:uid="{00000000-0005-0000-0000-000012000000}"/>
    <cellStyle name="Comma 2 27" xfId="58" xr:uid="{00000000-0005-0000-0000-000013000000}"/>
    <cellStyle name="Comma 2 28" xfId="60" xr:uid="{00000000-0005-0000-0000-000014000000}"/>
    <cellStyle name="Comma 2 29" xfId="62" xr:uid="{00000000-0005-0000-0000-000015000000}"/>
    <cellStyle name="Comma 2 3" xfId="8" xr:uid="{00000000-0005-0000-0000-000016000000}"/>
    <cellStyle name="Comma 2 30" xfId="64" xr:uid="{00000000-0005-0000-0000-000017000000}"/>
    <cellStyle name="Comma 2 31" xfId="66" xr:uid="{00000000-0005-0000-0000-000018000000}"/>
    <cellStyle name="Comma 2 32" xfId="69" xr:uid="{00000000-0005-0000-0000-000019000000}"/>
    <cellStyle name="Comma 2 33" xfId="71" xr:uid="{00000000-0005-0000-0000-00001A000000}"/>
    <cellStyle name="Comma 2 34" xfId="73" xr:uid="{00000000-0005-0000-0000-00001B000000}"/>
    <cellStyle name="Comma 2 35" xfId="75" xr:uid="{00000000-0005-0000-0000-00001C000000}"/>
    <cellStyle name="Comma 2 36" xfId="77" xr:uid="{00000000-0005-0000-0000-00001D000000}"/>
    <cellStyle name="Comma 2 37" xfId="79" xr:uid="{00000000-0005-0000-0000-00001E000000}"/>
    <cellStyle name="Comma 2 38" xfId="81" xr:uid="{00000000-0005-0000-0000-00001F000000}"/>
    <cellStyle name="Comma 2 39" xfId="83" xr:uid="{00000000-0005-0000-0000-000020000000}"/>
    <cellStyle name="Comma 2 4" xfId="10" xr:uid="{00000000-0005-0000-0000-000021000000}"/>
    <cellStyle name="Comma 2 40" xfId="85" xr:uid="{00000000-0005-0000-0000-000022000000}"/>
    <cellStyle name="Comma 2 41" xfId="88" xr:uid="{00000000-0005-0000-0000-000023000000}"/>
    <cellStyle name="Comma 2 42" xfId="90" xr:uid="{00000000-0005-0000-0000-000024000000}"/>
    <cellStyle name="Comma 2 43" xfId="92" xr:uid="{00000000-0005-0000-0000-000025000000}"/>
    <cellStyle name="Comma 2 44" xfId="95" xr:uid="{00000000-0005-0000-0000-000026000000}"/>
    <cellStyle name="Comma 2 45" xfId="97" xr:uid="{00000000-0005-0000-0000-000027000000}"/>
    <cellStyle name="Comma 2 46" xfId="99" xr:uid="{00000000-0005-0000-0000-000028000000}"/>
    <cellStyle name="Comma 2 47" xfId="101" xr:uid="{00000000-0005-0000-0000-000029000000}"/>
    <cellStyle name="Comma 2 48" xfId="103" xr:uid="{00000000-0005-0000-0000-00002A000000}"/>
    <cellStyle name="Comma 2 49" xfId="106" xr:uid="{00000000-0005-0000-0000-00002B000000}"/>
    <cellStyle name="Comma 2 5" xfId="12" xr:uid="{00000000-0005-0000-0000-00002C000000}"/>
    <cellStyle name="Comma 2 50" xfId="108" xr:uid="{00000000-0005-0000-0000-00002D000000}"/>
    <cellStyle name="Comma 2 51" xfId="110" xr:uid="{00000000-0005-0000-0000-00002E000000}"/>
    <cellStyle name="Comma 2 52" xfId="112" xr:uid="{00000000-0005-0000-0000-00002F000000}"/>
    <cellStyle name="Comma 2 53" xfId="114" xr:uid="{00000000-0005-0000-0000-000030000000}"/>
    <cellStyle name="Comma 2 54" xfId="116" xr:uid="{00000000-0005-0000-0000-000031000000}"/>
    <cellStyle name="Comma 2 55" xfId="118" xr:uid="{00000000-0005-0000-0000-000032000000}"/>
    <cellStyle name="Comma 2 56" xfId="120" xr:uid="{00000000-0005-0000-0000-000033000000}"/>
    <cellStyle name="Comma 2 57" xfId="122" xr:uid="{00000000-0005-0000-0000-000034000000}"/>
    <cellStyle name="Comma 2 58" xfId="124" xr:uid="{00000000-0005-0000-0000-000035000000}"/>
    <cellStyle name="Comma 2 59" xfId="126" xr:uid="{00000000-0005-0000-0000-000036000000}"/>
    <cellStyle name="Comma 2 6" xfId="14" xr:uid="{00000000-0005-0000-0000-000037000000}"/>
    <cellStyle name="Comma 2 60" xfId="128" xr:uid="{00000000-0005-0000-0000-000038000000}"/>
    <cellStyle name="Comma 2 61" xfId="130" xr:uid="{00000000-0005-0000-0000-000039000000}"/>
    <cellStyle name="Comma 2 62" xfId="132" xr:uid="{00000000-0005-0000-0000-00003A000000}"/>
    <cellStyle name="Comma 2 63" xfId="134" xr:uid="{00000000-0005-0000-0000-00003B000000}"/>
    <cellStyle name="Comma 2 64" xfId="136" xr:uid="{00000000-0005-0000-0000-00003C000000}"/>
    <cellStyle name="Comma 2 65" xfId="138" xr:uid="{00000000-0005-0000-0000-00003D000000}"/>
    <cellStyle name="Comma 2 66" xfId="140" xr:uid="{00000000-0005-0000-0000-00003E000000}"/>
    <cellStyle name="Comma 2 67" xfId="142" xr:uid="{00000000-0005-0000-0000-00003F000000}"/>
    <cellStyle name="Comma 2 68" xfId="144" xr:uid="{00000000-0005-0000-0000-000040000000}"/>
    <cellStyle name="Comma 2 69" xfId="146" xr:uid="{00000000-0005-0000-0000-000041000000}"/>
    <cellStyle name="Comma 2 7" xfId="16" xr:uid="{00000000-0005-0000-0000-000042000000}"/>
    <cellStyle name="Comma 2 70" xfId="148" xr:uid="{00000000-0005-0000-0000-000043000000}"/>
    <cellStyle name="Comma 2 71" xfId="150" xr:uid="{00000000-0005-0000-0000-000044000000}"/>
    <cellStyle name="Comma 2 72" xfId="152" xr:uid="{00000000-0005-0000-0000-000045000000}"/>
    <cellStyle name="Comma 2 73" xfId="154" xr:uid="{00000000-0005-0000-0000-000046000000}"/>
    <cellStyle name="Comma 2 74" xfId="156" xr:uid="{00000000-0005-0000-0000-000047000000}"/>
    <cellStyle name="Comma 2 75" xfId="158" xr:uid="{00000000-0005-0000-0000-000048000000}"/>
    <cellStyle name="Comma 2 76" xfId="160" xr:uid="{00000000-0005-0000-0000-000049000000}"/>
    <cellStyle name="Comma 2 77" xfId="162" xr:uid="{00000000-0005-0000-0000-00004A000000}"/>
    <cellStyle name="Comma 2 78" xfId="164" xr:uid="{00000000-0005-0000-0000-00004B000000}"/>
    <cellStyle name="Comma 2 79" xfId="166" xr:uid="{00000000-0005-0000-0000-00004C000000}"/>
    <cellStyle name="Comma 2 8" xfId="18" xr:uid="{00000000-0005-0000-0000-00004D000000}"/>
    <cellStyle name="Comma 2 80" xfId="168" xr:uid="{00000000-0005-0000-0000-00004E000000}"/>
    <cellStyle name="Comma 2 81" xfId="170" xr:uid="{00000000-0005-0000-0000-00004F000000}"/>
    <cellStyle name="Comma 2 82" xfId="172" xr:uid="{D7C88DA2-13CC-403A-BDB5-94491A12D43D}"/>
    <cellStyle name="Comma 2 83" xfId="174" xr:uid="{D2EFA76C-AC62-4031-AE75-DCFCC63A0904}"/>
    <cellStyle name="Comma 2 84" xfId="176" xr:uid="{A40644DC-0EFB-4989-B3CE-F776FA183C2D}"/>
    <cellStyle name="Comma 2 9" xfId="20" xr:uid="{00000000-0005-0000-0000-000050000000}"/>
    <cellStyle name="Normal 2" xfId="3" xr:uid="{00000000-0005-0000-0000-000051000000}"/>
    <cellStyle name="Normal 3" xfId="1" xr:uid="{00000000-0005-0000-0000-000052000000}"/>
    <cellStyle name="เครื่องหมายจุลภาค 10" xfId="21" xr:uid="{00000000-0005-0000-0000-000054000000}"/>
    <cellStyle name="เครื่องหมายจุลภาค 11" xfId="24" xr:uid="{00000000-0005-0000-0000-000055000000}"/>
    <cellStyle name="เครื่องหมายจุลภาค 12" xfId="26" xr:uid="{00000000-0005-0000-0000-000056000000}"/>
    <cellStyle name="เครื่องหมายจุลภาค 13" xfId="28" xr:uid="{00000000-0005-0000-0000-000057000000}"/>
    <cellStyle name="เครื่องหมายจุลภาค 14" xfId="30" xr:uid="{00000000-0005-0000-0000-000058000000}"/>
    <cellStyle name="เครื่องหมายจุลภาค 15" xfId="32" xr:uid="{00000000-0005-0000-0000-000059000000}"/>
    <cellStyle name="เครื่องหมายจุลภาค 16" xfId="34" xr:uid="{00000000-0005-0000-0000-00005A000000}"/>
    <cellStyle name="เครื่องหมายจุลภาค 17" xfId="36" xr:uid="{00000000-0005-0000-0000-00005B000000}"/>
    <cellStyle name="เครื่องหมายจุลภาค 18" xfId="38" xr:uid="{00000000-0005-0000-0000-00005C000000}"/>
    <cellStyle name="เครื่องหมายจุลภาค 19" xfId="41" xr:uid="{00000000-0005-0000-0000-00005D000000}"/>
    <cellStyle name="เครื่องหมายจุลภาค 2" xfId="5" xr:uid="{00000000-0005-0000-0000-00005E000000}"/>
    <cellStyle name="เครื่องหมายจุลภาค 20" xfId="43" xr:uid="{00000000-0005-0000-0000-00005F000000}"/>
    <cellStyle name="เครื่องหมายจุลภาค 21" xfId="45" xr:uid="{00000000-0005-0000-0000-000060000000}"/>
    <cellStyle name="เครื่องหมายจุลภาค 22" xfId="47" xr:uid="{00000000-0005-0000-0000-000061000000}"/>
    <cellStyle name="เครื่องหมายจุลภาค 23" xfId="49" xr:uid="{00000000-0005-0000-0000-000062000000}"/>
    <cellStyle name="เครื่องหมายจุลภาค 24" xfId="51" xr:uid="{00000000-0005-0000-0000-000063000000}"/>
    <cellStyle name="เครื่องหมายจุลภาค 25" xfId="53" xr:uid="{00000000-0005-0000-0000-000064000000}"/>
    <cellStyle name="เครื่องหมายจุลภาค 26" xfId="55" xr:uid="{00000000-0005-0000-0000-000065000000}"/>
    <cellStyle name="เครื่องหมายจุลภาค 27" xfId="57" xr:uid="{00000000-0005-0000-0000-000066000000}"/>
    <cellStyle name="เครื่องหมายจุลภาค 28" xfId="59" xr:uid="{00000000-0005-0000-0000-000067000000}"/>
    <cellStyle name="เครื่องหมายจุลภาค 29" xfId="61" xr:uid="{00000000-0005-0000-0000-000068000000}"/>
    <cellStyle name="เครื่องหมายจุลภาค 3" xfId="7" xr:uid="{00000000-0005-0000-0000-000069000000}"/>
    <cellStyle name="เครื่องหมายจุลภาค 30" xfId="63" xr:uid="{00000000-0005-0000-0000-00006A000000}"/>
    <cellStyle name="เครื่องหมายจุลภาค 31" xfId="65" xr:uid="{00000000-0005-0000-0000-00006B000000}"/>
    <cellStyle name="เครื่องหมายจุลภาค 32" xfId="68" xr:uid="{00000000-0005-0000-0000-00006C000000}"/>
    <cellStyle name="เครื่องหมายจุลภาค 33" xfId="70" xr:uid="{00000000-0005-0000-0000-00006D000000}"/>
    <cellStyle name="เครื่องหมายจุลภาค 34" xfId="72" xr:uid="{00000000-0005-0000-0000-00006E000000}"/>
    <cellStyle name="เครื่องหมายจุลภาค 35" xfId="74" xr:uid="{00000000-0005-0000-0000-00006F000000}"/>
    <cellStyle name="เครื่องหมายจุลภาค 36" xfId="76" xr:uid="{00000000-0005-0000-0000-000070000000}"/>
    <cellStyle name="เครื่องหมายจุลภาค 37" xfId="78" xr:uid="{00000000-0005-0000-0000-000071000000}"/>
    <cellStyle name="เครื่องหมายจุลภาค 38" xfId="80" xr:uid="{00000000-0005-0000-0000-000072000000}"/>
    <cellStyle name="เครื่องหมายจุลภาค 39" xfId="82" xr:uid="{00000000-0005-0000-0000-000073000000}"/>
    <cellStyle name="เครื่องหมายจุลภาค 4" xfId="9" xr:uid="{00000000-0005-0000-0000-000074000000}"/>
    <cellStyle name="เครื่องหมายจุลภาค 40" xfId="84" xr:uid="{00000000-0005-0000-0000-000075000000}"/>
    <cellStyle name="เครื่องหมายจุลภาค 41" xfId="87" xr:uid="{00000000-0005-0000-0000-000076000000}"/>
    <cellStyle name="เครื่องหมายจุลภาค 42" xfId="89" xr:uid="{00000000-0005-0000-0000-000077000000}"/>
    <cellStyle name="เครื่องหมายจุลภาค 43" xfId="91" xr:uid="{00000000-0005-0000-0000-000078000000}"/>
    <cellStyle name="เครื่องหมายจุลภาค 44" xfId="94" xr:uid="{00000000-0005-0000-0000-000079000000}"/>
    <cellStyle name="เครื่องหมายจุลภาค 45" xfId="96" xr:uid="{00000000-0005-0000-0000-00007A000000}"/>
    <cellStyle name="เครื่องหมายจุลภาค 46" xfId="98" xr:uid="{00000000-0005-0000-0000-00007B000000}"/>
    <cellStyle name="เครื่องหมายจุลภาค 47" xfId="100" xr:uid="{00000000-0005-0000-0000-00007C000000}"/>
    <cellStyle name="เครื่องหมายจุลภาค 48" xfId="102" xr:uid="{00000000-0005-0000-0000-00007D000000}"/>
    <cellStyle name="เครื่องหมายจุลภาค 49" xfId="105" xr:uid="{00000000-0005-0000-0000-00007E000000}"/>
    <cellStyle name="เครื่องหมายจุลภาค 5" xfId="11" xr:uid="{00000000-0005-0000-0000-00007F000000}"/>
    <cellStyle name="เครื่องหมายจุลภาค 50" xfId="107" xr:uid="{00000000-0005-0000-0000-000080000000}"/>
    <cellStyle name="เครื่องหมายจุลภาค 51" xfId="109" xr:uid="{00000000-0005-0000-0000-000081000000}"/>
    <cellStyle name="เครื่องหมายจุลภาค 52" xfId="111" xr:uid="{00000000-0005-0000-0000-000082000000}"/>
    <cellStyle name="เครื่องหมายจุลภาค 53" xfId="113" xr:uid="{00000000-0005-0000-0000-000083000000}"/>
    <cellStyle name="เครื่องหมายจุลภาค 54" xfId="115" xr:uid="{00000000-0005-0000-0000-000084000000}"/>
    <cellStyle name="เครื่องหมายจุลภาค 55" xfId="117" xr:uid="{00000000-0005-0000-0000-000085000000}"/>
    <cellStyle name="เครื่องหมายจุลภาค 56" xfId="119" xr:uid="{00000000-0005-0000-0000-000086000000}"/>
    <cellStyle name="เครื่องหมายจุลภาค 57" xfId="121" xr:uid="{00000000-0005-0000-0000-000087000000}"/>
    <cellStyle name="เครื่องหมายจุลภาค 58" xfId="123" xr:uid="{00000000-0005-0000-0000-000088000000}"/>
    <cellStyle name="เครื่องหมายจุลภาค 59" xfId="125" xr:uid="{00000000-0005-0000-0000-000089000000}"/>
    <cellStyle name="เครื่องหมายจุลภาค 6" xfId="13" xr:uid="{00000000-0005-0000-0000-00008A000000}"/>
    <cellStyle name="เครื่องหมายจุลภาค 60" xfId="127" xr:uid="{00000000-0005-0000-0000-00008B000000}"/>
    <cellStyle name="เครื่องหมายจุลภาค 61" xfId="129" xr:uid="{00000000-0005-0000-0000-00008C000000}"/>
    <cellStyle name="เครื่องหมายจุลภาค 62" xfId="131" xr:uid="{00000000-0005-0000-0000-00008D000000}"/>
    <cellStyle name="เครื่องหมายจุลภาค 63" xfId="133" xr:uid="{00000000-0005-0000-0000-00008E000000}"/>
    <cellStyle name="เครื่องหมายจุลภาค 64" xfId="135" xr:uid="{00000000-0005-0000-0000-00008F000000}"/>
    <cellStyle name="เครื่องหมายจุลภาค 65" xfId="137" xr:uid="{00000000-0005-0000-0000-000090000000}"/>
    <cellStyle name="เครื่องหมายจุลภาค 66" xfId="139" xr:uid="{00000000-0005-0000-0000-000091000000}"/>
    <cellStyle name="เครื่องหมายจุลภาค 67" xfId="141" xr:uid="{00000000-0005-0000-0000-000092000000}"/>
    <cellStyle name="เครื่องหมายจุลภาค 68" xfId="143" xr:uid="{00000000-0005-0000-0000-000093000000}"/>
    <cellStyle name="เครื่องหมายจุลภาค 69" xfId="145" xr:uid="{00000000-0005-0000-0000-000094000000}"/>
    <cellStyle name="เครื่องหมายจุลภาค 7" xfId="15" xr:uid="{00000000-0005-0000-0000-000095000000}"/>
    <cellStyle name="เครื่องหมายจุลภาค 70" xfId="147" xr:uid="{00000000-0005-0000-0000-000096000000}"/>
    <cellStyle name="เครื่องหมายจุลภาค 71" xfId="149" xr:uid="{00000000-0005-0000-0000-000097000000}"/>
    <cellStyle name="เครื่องหมายจุลภาค 72" xfId="151" xr:uid="{00000000-0005-0000-0000-000098000000}"/>
    <cellStyle name="เครื่องหมายจุลภาค 73" xfId="153" xr:uid="{00000000-0005-0000-0000-000099000000}"/>
    <cellStyle name="เครื่องหมายจุลภาค 74" xfId="155" xr:uid="{00000000-0005-0000-0000-00009A000000}"/>
    <cellStyle name="เครื่องหมายจุลภาค 75" xfId="157" xr:uid="{00000000-0005-0000-0000-00009B000000}"/>
    <cellStyle name="เครื่องหมายจุลภาค 76" xfId="159" xr:uid="{00000000-0005-0000-0000-00009C000000}"/>
    <cellStyle name="เครื่องหมายจุลภาค 77" xfId="161" xr:uid="{00000000-0005-0000-0000-00009D000000}"/>
    <cellStyle name="เครื่องหมายจุลภาค 78" xfId="163" xr:uid="{00000000-0005-0000-0000-00009E000000}"/>
    <cellStyle name="เครื่องหมายจุลภาค 79" xfId="165" xr:uid="{00000000-0005-0000-0000-00009F000000}"/>
    <cellStyle name="เครื่องหมายจุลภาค 8" xfId="17" xr:uid="{00000000-0005-0000-0000-0000A0000000}"/>
    <cellStyle name="เครื่องหมายจุลภาค 80" xfId="167" xr:uid="{00000000-0005-0000-0000-0000A1000000}"/>
    <cellStyle name="เครื่องหมายจุลภาค 81" xfId="169" xr:uid="{00000000-0005-0000-0000-0000A2000000}"/>
    <cellStyle name="เครื่องหมายจุลภาค 9" xfId="19" xr:uid="{00000000-0005-0000-0000-0000A3000000}"/>
    <cellStyle name="จุลภาค" xfId="67" builtinId="3"/>
    <cellStyle name="จุลภาค 2" xfId="171" xr:uid="{473D8552-C09B-445B-9BC4-7232A9F10107}"/>
    <cellStyle name="จุลภาค 3" xfId="173" xr:uid="{90EA2F03-A71A-493F-85EE-F15CACFB4543}"/>
    <cellStyle name="จุลภาค 4" xfId="175" xr:uid="{21F0AC59-9D04-4508-B226-60A281F3AA07}"/>
    <cellStyle name="ปกติ" xfId="0" builtinId="0"/>
    <cellStyle name="ปกติ 2" xfId="4" xr:uid="{00000000-0005-0000-0000-0000A5000000}"/>
    <cellStyle name="ปกติ 3" xfId="23" xr:uid="{00000000-0005-0000-0000-0000A6000000}"/>
    <cellStyle name="ปกติ 4" xfId="40" xr:uid="{00000000-0005-0000-0000-0000A7000000}"/>
    <cellStyle name="ปกติ 5" xfId="86" xr:uid="{00000000-0005-0000-0000-0000A8000000}"/>
    <cellStyle name="ปกติ 6" xfId="93" xr:uid="{00000000-0005-0000-0000-0000A9000000}"/>
    <cellStyle name="ปกติ 7" xfId="104" xr:uid="{00000000-0005-0000-0000-0000A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4"/>
  <sheetViews>
    <sheetView workbookViewId="0">
      <selection activeCell="K17" sqref="K17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8.25" style="10" customWidth="1"/>
    <col min="7" max="7" width="8.1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75" style="10" customWidth="1"/>
    <col min="15" max="15" width="4.625" style="10" customWidth="1"/>
    <col min="16" max="16" width="5.5" style="10" customWidth="1"/>
    <col min="17" max="17" width="7.875" style="10" customWidth="1"/>
    <col min="18" max="18" width="4.875" style="10" customWidth="1"/>
    <col min="19" max="19" width="5.875" style="10" customWidth="1"/>
    <col min="20" max="20" width="7.7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55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104" t="s">
        <v>37</v>
      </c>
      <c r="B9" s="113">
        <v>65</v>
      </c>
      <c r="C9" s="113">
        <v>80</v>
      </c>
      <c r="D9" s="113">
        <v>70</v>
      </c>
      <c r="E9" s="113">
        <v>64</v>
      </c>
      <c r="F9" s="113">
        <v>66</v>
      </c>
      <c r="G9" s="113"/>
      <c r="H9" s="113">
        <v>38</v>
      </c>
      <c r="I9" s="113" t="s">
        <v>50</v>
      </c>
      <c r="J9" s="113">
        <v>80</v>
      </c>
      <c r="K9" s="113">
        <v>70</v>
      </c>
      <c r="L9" s="113">
        <v>75</v>
      </c>
      <c r="M9" s="113">
        <v>4.3</v>
      </c>
      <c r="N9" s="113">
        <v>4.5999999999999996</v>
      </c>
      <c r="O9" s="114">
        <v>22</v>
      </c>
      <c r="P9" s="109">
        <v>0</v>
      </c>
      <c r="Q9" s="114">
        <v>1319</v>
      </c>
      <c r="R9" s="114">
        <v>22</v>
      </c>
      <c r="S9" s="110">
        <v>0</v>
      </c>
      <c r="T9" s="114">
        <v>1319</v>
      </c>
    </row>
    <row r="10" spans="1:39" x14ac:dyDescent="0.35">
      <c r="A10" s="84" t="s">
        <v>38</v>
      </c>
      <c r="B10" s="113">
        <v>65</v>
      </c>
      <c r="C10" s="113">
        <v>80</v>
      </c>
      <c r="D10" s="113">
        <v>70</v>
      </c>
      <c r="E10" s="113">
        <v>55</v>
      </c>
      <c r="F10" s="113">
        <v>77</v>
      </c>
      <c r="G10" s="113" t="s">
        <v>49</v>
      </c>
      <c r="H10" s="113" t="s">
        <v>49</v>
      </c>
      <c r="I10" s="113">
        <v>45</v>
      </c>
      <c r="J10" s="113">
        <v>82</v>
      </c>
      <c r="K10" s="113">
        <v>85</v>
      </c>
      <c r="L10" s="113">
        <v>82</v>
      </c>
      <c r="M10" s="113">
        <v>4</v>
      </c>
      <c r="N10" s="113">
        <v>4.5</v>
      </c>
      <c r="O10" s="113" t="s">
        <v>49</v>
      </c>
      <c r="P10" s="113" t="s">
        <v>49</v>
      </c>
      <c r="Q10" s="113">
        <v>535</v>
      </c>
      <c r="R10" s="113" t="s">
        <v>49</v>
      </c>
      <c r="S10" s="113" t="s">
        <v>49</v>
      </c>
      <c r="T10" s="113">
        <v>535</v>
      </c>
    </row>
    <row r="11" spans="1:39" x14ac:dyDescent="0.35">
      <c r="A11" s="84" t="s">
        <v>39</v>
      </c>
      <c r="B11" s="113">
        <v>65</v>
      </c>
      <c r="C11" s="113">
        <v>80</v>
      </c>
      <c r="D11" s="113">
        <v>65</v>
      </c>
      <c r="E11" s="113">
        <v>56</v>
      </c>
      <c r="F11" s="113">
        <v>75</v>
      </c>
      <c r="G11" s="109">
        <v>0</v>
      </c>
      <c r="H11" s="109">
        <v>0</v>
      </c>
      <c r="I11" s="113">
        <v>40</v>
      </c>
      <c r="J11" s="113">
        <v>85</v>
      </c>
      <c r="K11" s="113">
        <v>80</v>
      </c>
      <c r="L11" s="113">
        <v>70</v>
      </c>
      <c r="M11" s="113">
        <v>2.85</v>
      </c>
      <c r="N11" s="113">
        <v>3.5</v>
      </c>
      <c r="O11" s="110" t="s">
        <v>49</v>
      </c>
      <c r="P11" s="109">
        <v>0</v>
      </c>
      <c r="Q11" s="110">
        <v>473</v>
      </c>
      <c r="R11" s="110">
        <v>0</v>
      </c>
      <c r="S11" s="110">
        <v>0</v>
      </c>
      <c r="T11" s="110">
        <v>473</v>
      </c>
    </row>
    <row r="12" spans="1:39" x14ac:dyDescent="0.35">
      <c r="A12" s="84" t="s">
        <v>40</v>
      </c>
      <c r="B12" s="113" t="s">
        <v>50</v>
      </c>
      <c r="C12" s="113">
        <v>0</v>
      </c>
      <c r="D12" s="113">
        <v>0</v>
      </c>
      <c r="E12" s="113">
        <v>52</v>
      </c>
      <c r="F12" s="113">
        <v>0</v>
      </c>
      <c r="G12" s="113">
        <v>0</v>
      </c>
      <c r="H12" s="113">
        <v>0</v>
      </c>
      <c r="I12" s="113">
        <v>39</v>
      </c>
      <c r="J12" s="113">
        <v>70</v>
      </c>
      <c r="K12" s="113">
        <v>70</v>
      </c>
      <c r="L12" s="113">
        <v>70</v>
      </c>
      <c r="M12" s="113">
        <v>3.5</v>
      </c>
      <c r="N12" s="113">
        <v>3.8</v>
      </c>
      <c r="O12" s="113">
        <v>27</v>
      </c>
      <c r="P12" s="113"/>
      <c r="Q12" s="113">
        <v>1975</v>
      </c>
      <c r="R12" s="113">
        <v>27</v>
      </c>
      <c r="S12" s="113"/>
      <c r="T12" s="113">
        <v>2172</v>
      </c>
    </row>
    <row r="13" spans="1:39" x14ac:dyDescent="0.35">
      <c r="A13" s="84" t="s">
        <v>41</v>
      </c>
      <c r="B13" s="113">
        <v>85</v>
      </c>
      <c r="C13" s="113">
        <v>85</v>
      </c>
      <c r="D13" s="113">
        <v>95</v>
      </c>
      <c r="E13" s="113">
        <v>52</v>
      </c>
      <c r="F13" s="113">
        <v>75</v>
      </c>
      <c r="G13" s="109">
        <v>0</v>
      </c>
      <c r="H13" s="109">
        <v>0</v>
      </c>
      <c r="I13" s="113">
        <v>40</v>
      </c>
      <c r="J13" s="113">
        <v>70</v>
      </c>
      <c r="K13" s="113">
        <v>70</v>
      </c>
      <c r="L13" s="113">
        <v>70</v>
      </c>
      <c r="M13" s="113">
        <v>3</v>
      </c>
      <c r="N13" s="113">
        <v>3</v>
      </c>
      <c r="O13" s="110" t="s">
        <v>49</v>
      </c>
      <c r="P13" s="109">
        <v>0</v>
      </c>
      <c r="Q13" s="110">
        <v>238</v>
      </c>
      <c r="R13" s="110">
        <v>0</v>
      </c>
      <c r="S13" s="110">
        <v>0</v>
      </c>
      <c r="T13" s="110">
        <v>238</v>
      </c>
    </row>
    <row r="14" spans="1:39" x14ac:dyDescent="0.35">
      <c r="A14" s="84" t="s">
        <v>42</v>
      </c>
      <c r="B14" s="113">
        <v>70</v>
      </c>
      <c r="C14" s="113">
        <v>85</v>
      </c>
      <c r="D14" s="113">
        <v>80</v>
      </c>
      <c r="E14" s="113">
        <v>52.5</v>
      </c>
      <c r="F14" s="113">
        <v>90</v>
      </c>
      <c r="G14" s="113">
        <v>90</v>
      </c>
      <c r="H14" s="113">
        <v>0</v>
      </c>
      <c r="I14" s="113">
        <v>33.75</v>
      </c>
      <c r="J14" s="113">
        <v>70</v>
      </c>
      <c r="K14" s="113">
        <v>0</v>
      </c>
      <c r="L14" s="113">
        <v>50</v>
      </c>
      <c r="M14" s="113">
        <v>4</v>
      </c>
      <c r="N14" s="113">
        <v>3.6</v>
      </c>
      <c r="O14" s="113">
        <v>70</v>
      </c>
      <c r="P14" s="113">
        <v>12</v>
      </c>
      <c r="Q14" s="113">
        <v>32394</v>
      </c>
      <c r="R14" s="113">
        <v>70</v>
      </c>
      <c r="S14" s="113">
        <v>12</v>
      </c>
      <c r="T14" s="113">
        <v>32394</v>
      </c>
    </row>
    <row r="15" spans="1:39" x14ac:dyDescent="0.35">
      <c r="A15" s="84" t="s">
        <v>43</v>
      </c>
      <c r="B15" s="110">
        <v>80</v>
      </c>
      <c r="C15" s="110">
        <v>85</v>
      </c>
      <c r="D15" s="110">
        <v>70</v>
      </c>
      <c r="E15" s="110">
        <v>54</v>
      </c>
      <c r="F15" s="111">
        <v>80</v>
      </c>
      <c r="G15" s="111">
        <v>100</v>
      </c>
      <c r="H15" s="111" t="s">
        <v>50</v>
      </c>
      <c r="I15" s="111" t="s">
        <v>50</v>
      </c>
      <c r="J15" s="107">
        <v>80</v>
      </c>
      <c r="K15" s="111">
        <v>85</v>
      </c>
      <c r="L15" s="111">
        <v>65</v>
      </c>
      <c r="M15" s="108">
        <v>4.5</v>
      </c>
      <c r="N15" s="111">
        <v>4</v>
      </c>
      <c r="O15" s="111">
        <v>0</v>
      </c>
      <c r="P15" s="111">
        <v>0</v>
      </c>
      <c r="Q15" s="112">
        <v>242</v>
      </c>
      <c r="R15" s="111">
        <v>0</v>
      </c>
      <c r="S15" s="111">
        <v>0</v>
      </c>
      <c r="T15" s="111">
        <v>242</v>
      </c>
    </row>
    <row r="16" spans="1:39" x14ac:dyDescent="0.35">
      <c r="A16" s="84" t="s">
        <v>44</v>
      </c>
      <c r="B16" s="31">
        <v>80</v>
      </c>
      <c r="C16" s="31">
        <v>85</v>
      </c>
      <c r="D16" s="31">
        <v>70</v>
      </c>
      <c r="E16" s="31">
        <v>56</v>
      </c>
      <c r="F16" s="106">
        <v>80</v>
      </c>
      <c r="G16" s="110" t="s">
        <v>49</v>
      </c>
      <c r="H16" s="110" t="s">
        <v>49</v>
      </c>
      <c r="I16" s="110" t="s">
        <v>49</v>
      </c>
      <c r="J16" s="70">
        <v>80</v>
      </c>
      <c r="K16" s="70">
        <v>85</v>
      </c>
      <c r="L16" s="70">
        <v>80</v>
      </c>
      <c r="M16" s="70">
        <v>4</v>
      </c>
      <c r="N16" s="113">
        <v>4</v>
      </c>
      <c r="O16" s="113">
        <v>0</v>
      </c>
      <c r="P16" s="113">
        <v>0</v>
      </c>
      <c r="Q16" s="113">
        <v>295</v>
      </c>
      <c r="R16" s="113">
        <v>0</v>
      </c>
      <c r="S16" s="113">
        <v>0</v>
      </c>
      <c r="T16" s="113">
        <v>295</v>
      </c>
    </row>
    <row r="17" spans="1:22" x14ac:dyDescent="0.35">
      <c r="A17" s="84" t="s">
        <v>45</v>
      </c>
      <c r="B17" s="111">
        <v>100</v>
      </c>
      <c r="C17" s="111">
        <v>100</v>
      </c>
      <c r="D17" s="111">
        <v>120</v>
      </c>
      <c r="E17" s="111">
        <v>55</v>
      </c>
      <c r="F17" s="111">
        <v>100</v>
      </c>
      <c r="G17" s="111" t="s">
        <v>52</v>
      </c>
      <c r="H17" s="111" t="s">
        <v>52</v>
      </c>
      <c r="I17" s="111" t="s">
        <v>52</v>
      </c>
      <c r="J17" s="111">
        <v>100</v>
      </c>
      <c r="K17" s="111">
        <v>100</v>
      </c>
      <c r="L17" s="111">
        <v>100</v>
      </c>
      <c r="M17" s="111">
        <v>4.5</v>
      </c>
      <c r="N17" s="111" t="s">
        <v>52</v>
      </c>
      <c r="O17" s="111" t="s">
        <v>53</v>
      </c>
      <c r="P17" s="111" t="s">
        <v>53</v>
      </c>
      <c r="Q17" s="112" t="s">
        <v>53</v>
      </c>
      <c r="R17" s="111" t="s">
        <v>53</v>
      </c>
      <c r="S17" s="111" t="s">
        <v>53</v>
      </c>
      <c r="T17" s="111">
        <v>20</v>
      </c>
    </row>
    <row r="18" spans="1:22" x14ac:dyDescent="0.35">
      <c r="A18" s="84" t="s">
        <v>46</v>
      </c>
      <c r="B18" s="31">
        <v>85</v>
      </c>
      <c r="C18" s="31">
        <v>92</v>
      </c>
      <c r="D18" s="31">
        <v>80</v>
      </c>
      <c r="E18" s="31">
        <v>53</v>
      </c>
      <c r="F18" s="106">
        <v>100</v>
      </c>
      <c r="G18" s="110">
        <v>0</v>
      </c>
      <c r="H18" s="110">
        <v>0</v>
      </c>
      <c r="I18" s="110">
        <v>0</v>
      </c>
      <c r="J18" s="70">
        <v>80</v>
      </c>
      <c r="K18" s="70">
        <v>100</v>
      </c>
      <c r="L18" s="70">
        <v>80</v>
      </c>
      <c r="M18" s="70">
        <v>5</v>
      </c>
      <c r="N18" s="70">
        <v>4</v>
      </c>
      <c r="O18" s="110">
        <v>0</v>
      </c>
      <c r="P18" s="110">
        <v>0</v>
      </c>
      <c r="Q18" s="110">
        <v>90</v>
      </c>
      <c r="R18" s="110">
        <v>0</v>
      </c>
      <c r="S18" s="110">
        <v>0</v>
      </c>
      <c r="T18" s="110">
        <v>90</v>
      </c>
    </row>
    <row r="19" spans="1:22" x14ac:dyDescent="0.35">
      <c r="A19" s="105" t="s">
        <v>47</v>
      </c>
      <c r="B19" s="31" t="s">
        <v>49</v>
      </c>
      <c r="C19" s="31" t="s">
        <v>49</v>
      </c>
      <c r="D19" s="31" t="s">
        <v>49</v>
      </c>
      <c r="E19" s="31">
        <v>64</v>
      </c>
      <c r="F19" s="31">
        <v>80</v>
      </c>
      <c r="G19" s="31" t="s">
        <v>49</v>
      </c>
      <c r="H19" s="31">
        <v>33</v>
      </c>
      <c r="I19" s="31">
        <v>40</v>
      </c>
      <c r="J19" s="31">
        <v>100</v>
      </c>
      <c r="K19" s="31" t="s">
        <v>49</v>
      </c>
      <c r="L19" s="31" t="s">
        <v>49</v>
      </c>
      <c r="M19" s="31">
        <v>3.8</v>
      </c>
      <c r="N19" s="31" t="s">
        <v>49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2" s="4" customFormat="1" ht="21" hidden="1" customHeight="1" x14ac:dyDescent="0.35">
      <c r="A20" s="9"/>
      <c r="B20" s="11">
        <f>SUM(B9:B19)</f>
        <v>695</v>
      </c>
      <c r="C20" s="11">
        <f t="shared" ref="C20:S20" si="0">SUM(C9:C19)</f>
        <v>772</v>
      </c>
      <c r="D20" s="11">
        <f t="shared" si="0"/>
        <v>720</v>
      </c>
      <c r="E20" s="13">
        <f t="shared" si="0"/>
        <v>613.5</v>
      </c>
      <c r="F20" s="13">
        <f t="shared" si="0"/>
        <v>823</v>
      </c>
      <c r="G20" s="13">
        <f t="shared" si="0"/>
        <v>190</v>
      </c>
      <c r="H20" s="13">
        <f t="shared" si="0"/>
        <v>71</v>
      </c>
      <c r="I20" s="13">
        <f t="shared" si="0"/>
        <v>237.75</v>
      </c>
      <c r="J20" s="13">
        <f t="shared" si="0"/>
        <v>897</v>
      </c>
      <c r="K20" s="13">
        <f t="shared" si="0"/>
        <v>745</v>
      </c>
      <c r="L20" s="13">
        <f t="shared" si="0"/>
        <v>742</v>
      </c>
      <c r="M20" s="13">
        <f t="shared" si="0"/>
        <v>43.449999999999996</v>
      </c>
      <c r="N20" s="13">
        <f t="shared" si="0"/>
        <v>35</v>
      </c>
      <c r="O20" s="113">
        <f>SUM(O9:O19)</f>
        <v>119</v>
      </c>
      <c r="P20" s="13">
        <f t="shared" si="0"/>
        <v>12</v>
      </c>
      <c r="Q20" s="13">
        <f t="shared" si="0"/>
        <v>37561</v>
      </c>
      <c r="R20" s="13">
        <f t="shared" si="0"/>
        <v>119</v>
      </c>
      <c r="S20" s="13">
        <f t="shared" si="0"/>
        <v>12</v>
      </c>
      <c r="T20" s="13">
        <f>SUM(T9:T19)</f>
        <v>37778</v>
      </c>
      <c r="U20" s="3"/>
      <c r="V20" s="2"/>
    </row>
    <row r="21" spans="1:22" s="4" customFormat="1" x14ac:dyDescent="0.35">
      <c r="A21" s="9" t="s">
        <v>26</v>
      </c>
      <c r="B21" s="11">
        <f>695/9</f>
        <v>77.222222222222229</v>
      </c>
      <c r="C21" s="11">
        <f>772/9</f>
        <v>85.777777777777771</v>
      </c>
      <c r="D21" s="11">
        <f>720/9</f>
        <v>80</v>
      </c>
      <c r="E21" s="11">
        <f>614/11</f>
        <v>55.81818181818182</v>
      </c>
      <c r="F21" s="11">
        <f>823/10</f>
        <v>82.3</v>
      </c>
      <c r="G21" s="11">
        <f>190/2</f>
        <v>95</v>
      </c>
      <c r="H21" s="12">
        <f>71/2</f>
        <v>35.5</v>
      </c>
      <c r="I21" s="11">
        <f>238/6</f>
        <v>39.666666666666664</v>
      </c>
      <c r="J21" s="11">
        <f>897/11</f>
        <v>81.545454545454547</v>
      </c>
      <c r="K21" s="11">
        <f>745/99</f>
        <v>7.5252525252525251</v>
      </c>
      <c r="L21" s="11">
        <f>742/10</f>
        <v>74.2</v>
      </c>
      <c r="M21" s="11">
        <f>43/11</f>
        <v>3.9090909090909092</v>
      </c>
      <c r="N21" s="11">
        <f>35/9</f>
        <v>3.8888888888888888</v>
      </c>
      <c r="O21" s="14">
        <v>119</v>
      </c>
      <c r="P21" s="1">
        <v>12</v>
      </c>
      <c r="Q21" s="13">
        <v>37561</v>
      </c>
      <c r="R21" s="1">
        <v>119</v>
      </c>
      <c r="S21" s="1">
        <v>12</v>
      </c>
      <c r="T21" s="1">
        <v>37778</v>
      </c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2" right="0.2" top="0.2" bottom="0.2" header="0.22" footer="0.2"/>
  <pageSetup paperSize="9" scale="85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34"/>
  <sheetViews>
    <sheetView topLeftCell="A4" workbookViewId="0">
      <selection activeCell="A4" sqref="A4:T4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7.375" style="10" customWidth="1"/>
    <col min="7" max="7" width="7.6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75" style="10" customWidth="1"/>
    <col min="15" max="15" width="4.625" style="10" customWidth="1"/>
    <col min="16" max="16" width="5.5" style="10" customWidth="1"/>
    <col min="17" max="17" width="7.875" style="10" customWidth="1"/>
    <col min="18" max="18" width="4.875" style="10" customWidth="1"/>
    <col min="19" max="19" width="5.875" style="10" customWidth="1"/>
    <col min="20" max="20" width="7.1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63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22" t="s">
        <v>37</v>
      </c>
      <c r="B9" s="26"/>
      <c r="C9" s="26"/>
      <c r="D9" s="26"/>
      <c r="E9" s="26"/>
      <c r="F9" s="26"/>
      <c r="G9" s="27"/>
      <c r="H9" s="35"/>
      <c r="I9" s="26"/>
      <c r="J9" s="26"/>
      <c r="K9" s="26"/>
      <c r="L9" s="26"/>
      <c r="M9" s="26"/>
      <c r="N9" s="26"/>
      <c r="O9" s="34"/>
      <c r="P9" s="27"/>
      <c r="Q9" s="34"/>
      <c r="R9" s="34"/>
      <c r="S9" s="24"/>
      <c r="T9" s="34"/>
    </row>
    <row r="10" spans="1:39" x14ac:dyDescent="0.35">
      <c r="A10" s="22" t="s">
        <v>38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39" x14ac:dyDescent="0.35">
      <c r="A11" s="22" t="s">
        <v>39</v>
      </c>
      <c r="B11" s="77"/>
      <c r="C11" s="77"/>
      <c r="D11" s="78"/>
      <c r="E11" s="74"/>
      <c r="F11" s="77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39" x14ac:dyDescent="0.35">
      <c r="A12" s="22" t="s">
        <v>40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39" x14ac:dyDescent="0.35">
      <c r="A13" s="22" t="s">
        <v>41</v>
      </c>
      <c r="B13" s="74"/>
      <c r="C13" s="74"/>
      <c r="D13" s="74"/>
      <c r="E13" s="74"/>
      <c r="F13" s="74"/>
      <c r="G13" s="77"/>
      <c r="H13" s="77"/>
      <c r="I13" s="74"/>
      <c r="J13" s="74"/>
      <c r="K13" s="74"/>
      <c r="L13" s="74"/>
      <c r="M13" s="74"/>
      <c r="N13" s="74"/>
      <c r="O13" s="74"/>
      <c r="P13" s="77"/>
      <c r="Q13" s="74"/>
      <c r="R13" s="74"/>
      <c r="S13" s="74"/>
      <c r="T13" s="74"/>
    </row>
    <row r="14" spans="1:39" x14ac:dyDescent="0.35">
      <c r="A14" s="22" t="s">
        <v>42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39" x14ac:dyDescent="0.35">
      <c r="A15" s="22" t="s">
        <v>43</v>
      </c>
      <c r="B15" s="74"/>
      <c r="C15" s="74"/>
      <c r="D15" s="74"/>
      <c r="E15" s="74"/>
      <c r="F15" s="73"/>
      <c r="G15" s="73"/>
      <c r="H15" s="73"/>
      <c r="I15" s="73"/>
      <c r="J15" s="79"/>
      <c r="K15" s="73"/>
      <c r="L15" s="73"/>
      <c r="M15" s="74"/>
      <c r="N15" s="74"/>
      <c r="O15" s="74"/>
      <c r="P15" s="74"/>
      <c r="Q15" s="74"/>
      <c r="R15" s="74"/>
      <c r="S15" s="74"/>
      <c r="T15" s="74"/>
    </row>
    <row r="16" spans="1:39" x14ac:dyDescent="0.35">
      <c r="A16" s="22" t="s">
        <v>44</v>
      </c>
      <c r="B16" s="74"/>
      <c r="C16" s="74"/>
      <c r="D16" s="74"/>
      <c r="E16" s="74"/>
      <c r="F16" s="81"/>
      <c r="G16" s="24"/>
      <c r="H16" s="24"/>
      <c r="I16" s="24"/>
      <c r="J16" s="70"/>
      <c r="K16" s="70"/>
      <c r="L16" s="70"/>
      <c r="M16" s="74"/>
      <c r="N16" s="74"/>
      <c r="O16" s="74"/>
      <c r="P16" s="74"/>
      <c r="Q16" s="74"/>
      <c r="R16" s="74"/>
      <c r="S16" s="74"/>
      <c r="T16" s="74"/>
    </row>
    <row r="17" spans="1:22" x14ac:dyDescent="0.35">
      <c r="A17" s="22" t="s">
        <v>45</v>
      </c>
      <c r="B17" s="74"/>
      <c r="C17" s="74"/>
      <c r="D17" s="74"/>
      <c r="E17" s="74"/>
      <c r="F17" s="73"/>
      <c r="G17" s="75"/>
      <c r="H17" s="75"/>
      <c r="I17" s="75"/>
      <c r="J17" s="75"/>
      <c r="K17" s="75"/>
      <c r="L17" s="75"/>
      <c r="M17" s="74"/>
      <c r="N17" s="74"/>
      <c r="O17" s="74"/>
      <c r="P17" s="74"/>
      <c r="Q17" s="74"/>
      <c r="R17" s="74"/>
      <c r="S17" s="74"/>
      <c r="T17" s="74"/>
    </row>
    <row r="18" spans="1:22" x14ac:dyDescent="0.35">
      <c r="A18" s="22" t="s">
        <v>46</v>
      </c>
      <c r="B18" s="73"/>
      <c r="C18" s="73"/>
      <c r="D18" s="73"/>
      <c r="E18" s="73"/>
      <c r="F18" s="73"/>
      <c r="G18" s="74"/>
      <c r="H18" s="74"/>
      <c r="I18" s="74"/>
      <c r="J18" s="80"/>
      <c r="K18" s="80"/>
      <c r="L18" s="80"/>
      <c r="M18" s="80"/>
      <c r="N18" s="80"/>
      <c r="O18" s="74"/>
      <c r="P18" s="74"/>
      <c r="Q18" s="76"/>
      <c r="R18" s="76"/>
      <c r="S18" s="76"/>
      <c r="T18" s="76"/>
    </row>
    <row r="19" spans="1:22" x14ac:dyDescent="0.35">
      <c r="A19" s="22" t="s">
        <v>47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2" s="4" customFormat="1" ht="19.5" customHeight="1" x14ac:dyDescent="0.35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"/>
      <c r="V20" s="2"/>
    </row>
    <row r="21" spans="1:22" s="4" customFormat="1" x14ac:dyDescent="0.35">
      <c r="A21" s="9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21"/>
      <c r="O21" s="18"/>
      <c r="P21" s="18"/>
      <c r="Q21" s="18"/>
      <c r="R21" s="18"/>
      <c r="S21" s="18"/>
      <c r="T21" s="18"/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  <c r="S27" s="10">
        <f>9939/9</f>
        <v>1104.3333333333333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2" right="0.2" top="0.2" bottom="0.2" header="0.2" footer="0.2"/>
  <pageSetup paperSize="9" scale="85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34"/>
  <sheetViews>
    <sheetView workbookViewId="0">
      <selection activeCell="A4" sqref="A4:T4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7.375" style="10" customWidth="1"/>
    <col min="7" max="7" width="7.6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75" style="10" customWidth="1"/>
    <col min="15" max="15" width="4.75" style="10" customWidth="1"/>
    <col min="16" max="16" width="5.5" style="10" customWidth="1"/>
    <col min="17" max="17" width="7.875" style="10" customWidth="1"/>
    <col min="18" max="18" width="4.875" style="10" customWidth="1"/>
    <col min="19" max="19" width="5.875" style="10" customWidth="1"/>
    <col min="20" max="20" width="7.1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64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22" t="s">
        <v>37</v>
      </c>
      <c r="B9" s="83"/>
      <c r="C9" s="83"/>
      <c r="D9" s="83"/>
      <c r="E9" s="83"/>
      <c r="F9" s="83"/>
      <c r="G9" s="86"/>
      <c r="H9" s="88"/>
      <c r="I9" s="83"/>
      <c r="J9" s="83"/>
      <c r="K9" s="83"/>
      <c r="L9" s="83"/>
      <c r="M9" s="83"/>
      <c r="N9" s="83"/>
      <c r="O9" s="87"/>
      <c r="P9" s="86"/>
      <c r="Q9" s="87"/>
      <c r="R9" s="87"/>
      <c r="S9" s="85"/>
      <c r="T9" s="87"/>
    </row>
    <row r="10" spans="1:39" x14ac:dyDescent="0.35">
      <c r="A10" s="23" t="s">
        <v>38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39" x14ac:dyDescent="0.35">
      <c r="A11" s="23" t="s">
        <v>39</v>
      </c>
      <c r="B11" s="26"/>
      <c r="C11" s="26"/>
      <c r="D11" s="26"/>
      <c r="E11" s="26"/>
      <c r="F11" s="26"/>
      <c r="G11" s="27"/>
      <c r="H11" s="27"/>
      <c r="I11" s="26"/>
      <c r="J11" s="26"/>
      <c r="K11" s="26"/>
      <c r="L11" s="26"/>
      <c r="M11" s="26"/>
      <c r="N11" s="26"/>
      <c r="O11" s="24"/>
      <c r="P11" s="27"/>
      <c r="Q11" s="24"/>
      <c r="R11" s="24"/>
      <c r="S11" s="24"/>
      <c r="T11" s="26"/>
    </row>
    <row r="12" spans="1:39" x14ac:dyDescent="0.35">
      <c r="A12" s="23" t="s">
        <v>40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39" x14ac:dyDescent="0.35">
      <c r="A13" s="23" t="s">
        <v>41</v>
      </c>
      <c r="B13" s="83"/>
      <c r="C13" s="83"/>
      <c r="D13" s="83"/>
      <c r="E13" s="83"/>
      <c r="F13" s="83"/>
      <c r="G13" s="86"/>
      <c r="H13" s="86"/>
      <c r="I13" s="83"/>
      <c r="J13" s="83"/>
      <c r="K13" s="83"/>
      <c r="L13" s="83"/>
      <c r="M13" s="83"/>
      <c r="N13" s="83"/>
      <c r="O13" s="85"/>
      <c r="P13" s="86"/>
      <c r="Q13" s="85"/>
      <c r="R13" s="85"/>
      <c r="S13" s="85"/>
      <c r="T13" s="83"/>
    </row>
    <row r="14" spans="1:39" x14ac:dyDescent="0.35">
      <c r="A14" s="23" t="s">
        <v>42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39" x14ac:dyDescent="0.35">
      <c r="A15" s="23" t="s">
        <v>43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39" x14ac:dyDescent="0.35">
      <c r="A16" s="23" t="s">
        <v>44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2" x14ac:dyDescent="0.35">
      <c r="A17" s="23" t="s">
        <v>45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2" x14ac:dyDescent="0.35">
      <c r="A18" s="23" t="s">
        <v>46</v>
      </c>
      <c r="B18" s="32"/>
      <c r="C18" s="32"/>
      <c r="D18" s="32"/>
      <c r="E18" s="32"/>
      <c r="F18" s="32"/>
      <c r="G18" s="85"/>
      <c r="H18" s="85"/>
      <c r="I18" s="85"/>
      <c r="J18" s="70"/>
      <c r="K18" s="70"/>
      <c r="L18" s="70"/>
      <c r="M18" s="70"/>
      <c r="N18" s="70"/>
      <c r="O18" s="85"/>
      <c r="P18" s="85"/>
      <c r="Q18" s="85"/>
      <c r="R18" s="85"/>
      <c r="S18" s="85"/>
      <c r="T18" s="83"/>
      <c r="U18"/>
    </row>
    <row r="19" spans="1:22" x14ac:dyDescent="0.35">
      <c r="A19" s="25" t="s">
        <v>47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s="4" customFormat="1" ht="21.75" hidden="1" customHeight="1" x14ac:dyDescent="0.35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"/>
      <c r="V20" s="2"/>
    </row>
    <row r="21" spans="1:22" s="4" customFormat="1" x14ac:dyDescent="0.35">
      <c r="A21" s="9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21"/>
      <c r="O21" s="18"/>
      <c r="P21" s="18"/>
      <c r="Q21" s="18"/>
      <c r="R21" s="18"/>
      <c r="S21" s="18"/>
      <c r="T21" s="18"/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  <c r="S27" s="10">
        <f>9939/9</f>
        <v>1104.3333333333333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2" right="0.2" top="0.28000000000000003" bottom="0.2" header="0.3" footer="0.2"/>
  <pageSetup paperSize="9" scale="85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34"/>
  <sheetViews>
    <sheetView workbookViewId="0">
      <selection activeCell="I13" sqref="I13"/>
    </sheetView>
  </sheetViews>
  <sheetFormatPr defaultRowHeight="21" x14ac:dyDescent="0.35"/>
  <cols>
    <col min="1" max="1" width="12.375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7.375" style="10" customWidth="1"/>
    <col min="7" max="7" width="6.87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5" style="10" customWidth="1"/>
    <col min="15" max="15" width="4.75" style="10" customWidth="1"/>
    <col min="16" max="16" width="5.5" style="10" customWidth="1"/>
    <col min="17" max="17" width="7.875" style="10" customWidth="1"/>
    <col min="18" max="18" width="4.875" style="10" customWidth="1"/>
    <col min="19" max="19" width="5.875" style="10" customWidth="1"/>
    <col min="20" max="20" width="6.6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65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22" t="s">
        <v>37</v>
      </c>
      <c r="B9" s="93"/>
      <c r="C9" s="93"/>
      <c r="D9" s="93"/>
      <c r="E9" s="93"/>
      <c r="F9" s="93"/>
      <c r="G9" s="91"/>
      <c r="H9" s="97"/>
      <c r="I9" s="93"/>
      <c r="J9" s="93"/>
      <c r="K9" s="93"/>
      <c r="L9" s="93"/>
      <c r="M9" s="93"/>
      <c r="N9" s="93"/>
      <c r="O9" s="96"/>
      <c r="P9" s="91"/>
      <c r="Q9" s="96"/>
      <c r="R9" s="96"/>
      <c r="S9" s="92"/>
      <c r="T9" s="96"/>
    </row>
    <row r="10" spans="1:39" x14ac:dyDescent="0.35">
      <c r="A10" s="23" t="s">
        <v>38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39" x14ac:dyDescent="0.35">
      <c r="A11" s="23" t="s">
        <v>39</v>
      </c>
      <c r="B11" s="93"/>
      <c r="C11" s="93"/>
      <c r="D11" s="93"/>
      <c r="E11" s="93"/>
      <c r="F11" s="93"/>
      <c r="G11" s="91"/>
      <c r="H11" s="91"/>
      <c r="I11" s="93"/>
      <c r="J11" s="93"/>
      <c r="K11" s="93"/>
      <c r="L11" s="93"/>
      <c r="M11" s="93"/>
      <c r="N11" s="93"/>
      <c r="O11" s="92"/>
      <c r="P11" s="91"/>
      <c r="Q11" s="92"/>
      <c r="R11" s="92"/>
      <c r="S11" s="92"/>
      <c r="T11" s="90"/>
    </row>
    <row r="12" spans="1:39" x14ac:dyDescent="0.35">
      <c r="A12" s="23" t="s">
        <v>40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</row>
    <row r="13" spans="1:39" x14ac:dyDescent="0.35">
      <c r="A13" s="23" t="s">
        <v>41</v>
      </c>
      <c r="B13" s="102"/>
      <c r="C13" s="102"/>
      <c r="D13" s="102"/>
      <c r="E13" s="102"/>
      <c r="F13" s="102"/>
      <c r="G13" s="100"/>
      <c r="H13" s="100"/>
      <c r="I13" s="102"/>
      <c r="J13" s="102"/>
      <c r="K13" s="102"/>
      <c r="L13" s="102"/>
      <c r="M13" s="102"/>
      <c r="N13" s="102"/>
      <c r="O13" s="101"/>
      <c r="P13" s="100"/>
      <c r="Q13" s="101"/>
      <c r="R13" s="101"/>
      <c r="S13" s="101"/>
      <c r="T13" s="99"/>
    </row>
    <row r="14" spans="1:39" x14ac:dyDescent="0.35">
      <c r="A14" s="23" t="s">
        <v>42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39" x14ac:dyDescent="0.35">
      <c r="A15" s="23" t="s">
        <v>43</v>
      </c>
      <c r="B15" s="94"/>
      <c r="C15" s="94"/>
      <c r="D15" s="94"/>
      <c r="E15" s="94"/>
      <c r="F15" s="94"/>
      <c r="G15" s="94"/>
      <c r="H15" s="94"/>
      <c r="I15" s="94"/>
      <c r="J15" s="98"/>
      <c r="K15" s="94"/>
      <c r="L15" s="94"/>
      <c r="M15" s="94"/>
      <c r="N15" s="94"/>
      <c r="O15" s="94"/>
      <c r="P15" s="94"/>
      <c r="Q15" s="95"/>
      <c r="R15" s="94"/>
      <c r="S15" s="94"/>
      <c r="T15" s="89"/>
    </row>
    <row r="16" spans="1:39" x14ac:dyDescent="0.35">
      <c r="A16" s="23" t="s">
        <v>44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spans="1:22" x14ac:dyDescent="0.35">
      <c r="A17" s="23" t="s">
        <v>45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5"/>
      <c r="R17" s="94"/>
      <c r="S17" s="94"/>
      <c r="T17" s="94"/>
    </row>
    <row r="18" spans="1:22" x14ac:dyDescent="0.35">
      <c r="A18" s="23" t="s">
        <v>46</v>
      </c>
      <c r="B18" s="94"/>
      <c r="C18" s="94"/>
      <c r="D18" s="94"/>
      <c r="E18" s="94"/>
      <c r="F18" s="103"/>
      <c r="G18" s="101"/>
      <c r="H18" s="101"/>
      <c r="I18" s="101"/>
      <c r="J18" s="70"/>
      <c r="K18" s="70"/>
      <c r="L18" s="70"/>
      <c r="M18" s="70"/>
      <c r="N18" s="70"/>
      <c r="O18" s="101"/>
      <c r="P18" s="101"/>
      <c r="Q18" s="101"/>
      <c r="R18" s="101"/>
      <c r="S18" s="101"/>
      <c r="T18" s="99"/>
      <c r="U18"/>
    </row>
    <row r="19" spans="1:22" x14ac:dyDescent="0.35">
      <c r="A19" s="25" t="s">
        <v>47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spans="1:22" s="4" customFormat="1" ht="21" hidden="1" customHeight="1" x14ac:dyDescent="0.35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"/>
      <c r="V20" s="2"/>
    </row>
    <row r="21" spans="1:22" s="4" customFormat="1" x14ac:dyDescent="0.35">
      <c r="A21" s="9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21"/>
      <c r="O21" s="18"/>
      <c r="P21" s="18"/>
      <c r="Q21" s="18"/>
      <c r="R21" s="18"/>
      <c r="S21" s="18"/>
      <c r="T21" s="18"/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2" right="0.2" top="0.2" bottom="0.2" header="0.3" footer="0.2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4"/>
  <sheetViews>
    <sheetView zoomScale="89" zoomScaleNormal="89" workbookViewId="0">
      <selection activeCell="C10" sqref="C10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8.5" style="10" customWidth="1"/>
    <col min="6" max="6" width="8.25" style="10" customWidth="1"/>
    <col min="7" max="7" width="8.125" style="10" customWidth="1"/>
    <col min="8" max="8" width="5.5" style="10" customWidth="1"/>
    <col min="9" max="10" width="8.875" style="10" customWidth="1"/>
    <col min="11" max="12" width="7.75" style="10" customWidth="1"/>
    <col min="13" max="13" width="8.375" style="10" customWidth="1"/>
    <col min="14" max="14" width="8.75" style="10" customWidth="1"/>
    <col min="15" max="15" width="4.625" style="10" customWidth="1"/>
    <col min="16" max="16" width="5.5" style="10" customWidth="1"/>
    <col min="17" max="17" width="7.875" style="10" customWidth="1"/>
    <col min="18" max="18" width="4.875" style="10" customWidth="1"/>
    <col min="19" max="19" width="5.875" style="10" customWidth="1"/>
    <col min="20" max="20" width="7.1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54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22" t="s">
        <v>37</v>
      </c>
      <c r="B9" s="116">
        <v>65</v>
      </c>
      <c r="C9" s="116">
        <v>80</v>
      </c>
      <c r="D9" s="116">
        <v>70</v>
      </c>
      <c r="E9" s="116">
        <v>60</v>
      </c>
      <c r="F9" s="116">
        <v>65</v>
      </c>
      <c r="G9" s="116">
        <v>0</v>
      </c>
      <c r="H9" s="116">
        <v>38</v>
      </c>
      <c r="I9" s="116">
        <v>0</v>
      </c>
      <c r="J9" s="116">
        <v>80</v>
      </c>
      <c r="K9" s="116">
        <v>70</v>
      </c>
      <c r="L9" s="116">
        <v>70</v>
      </c>
      <c r="M9" s="116">
        <v>4</v>
      </c>
      <c r="N9" s="116">
        <v>4.2</v>
      </c>
      <c r="O9" s="117">
        <v>26</v>
      </c>
      <c r="P9" s="115">
        <v>0</v>
      </c>
      <c r="Q9" s="117">
        <v>1448</v>
      </c>
      <c r="R9" s="117">
        <v>26</v>
      </c>
      <c r="S9" s="123">
        <v>0</v>
      </c>
      <c r="T9" s="117">
        <v>1448</v>
      </c>
    </row>
    <row r="10" spans="1:39" x14ac:dyDescent="0.35">
      <c r="A10" s="23" t="s">
        <v>38</v>
      </c>
      <c r="B10" s="26">
        <v>67</v>
      </c>
      <c r="C10" s="26">
        <v>79</v>
      </c>
      <c r="D10" s="26">
        <v>72</v>
      </c>
      <c r="E10" s="26">
        <v>56</v>
      </c>
      <c r="F10" s="26">
        <v>76</v>
      </c>
      <c r="G10" s="26" t="s">
        <v>49</v>
      </c>
      <c r="H10" s="26" t="s">
        <v>49</v>
      </c>
      <c r="I10" s="26">
        <v>45</v>
      </c>
      <c r="J10" s="26">
        <v>81</v>
      </c>
      <c r="K10" s="26">
        <v>82</v>
      </c>
      <c r="L10" s="26">
        <v>84</v>
      </c>
      <c r="M10" s="26">
        <v>4</v>
      </c>
      <c r="N10" s="26">
        <v>4.5</v>
      </c>
      <c r="O10" s="26" t="s">
        <v>49</v>
      </c>
      <c r="P10" s="26" t="s">
        <v>49</v>
      </c>
      <c r="Q10" s="26">
        <v>525</v>
      </c>
      <c r="R10" s="26" t="s">
        <v>49</v>
      </c>
      <c r="S10" s="26" t="s">
        <v>49</v>
      </c>
      <c r="T10" s="26">
        <v>525</v>
      </c>
    </row>
    <row r="11" spans="1:39" x14ac:dyDescent="0.35">
      <c r="A11" s="23" t="s">
        <v>39</v>
      </c>
      <c r="B11" s="118">
        <v>65</v>
      </c>
      <c r="C11" s="118">
        <v>80</v>
      </c>
      <c r="D11" s="118">
        <v>65</v>
      </c>
      <c r="E11" s="118">
        <v>63</v>
      </c>
      <c r="F11" s="118">
        <v>75</v>
      </c>
      <c r="G11" s="120">
        <v>0</v>
      </c>
      <c r="H11" s="120">
        <v>0</v>
      </c>
      <c r="I11" s="118">
        <v>40</v>
      </c>
      <c r="J11" s="118">
        <v>85</v>
      </c>
      <c r="K11" s="118">
        <v>80</v>
      </c>
      <c r="L11" s="118">
        <v>70</v>
      </c>
      <c r="M11" s="118">
        <v>2.85</v>
      </c>
      <c r="N11" s="118">
        <v>3.5</v>
      </c>
      <c r="O11" s="121" t="s">
        <v>49</v>
      </c>
      <c r="P11" s="120">
        <v>0</v>
      </c>
      <c r="Q11" s="121">
        <v>473</v>
      </c>
      <c r="R11" s="121">
        <v>0</v>
      </c>
      <c r="S11" s="121">
        <v>0</v>
      </c>
      <c r="T11" s="121">
        <v>473</v>
      </c>
    </row>
    <row r="12" spans="1:39" x14ac:dyDescent="0.35">
      <c r="A12" s="23" t="s">
        <v>40</v>
      </c>
      <c r="B12" s="118" t="s">
        <v>50</v>
      </c>
      <c r="C12" s="118">
        <v>0</v>
      </c>
      <c r="D12" s="118">
        <v>0</v>
      </c>
      <c r="E12" s="118">
        <v>58</v>
      </c>
      <c r="F12" s="118">
        <v>0</v>
      </c>
      <c r="G12" s="118">
        <v>0</v>
      </c>
      <c r="H12" s="118">
        <v>0</v>
      </c>
      <c r="I12" s="118">
        <v>39</v>
      </c>
      <c r="J12" s="118">
        <v>80</v>
      </c>
      <c r="K12" s="118">
        <v>70</v>
      </c>
      <c r="L12" s="118">
        <v>70</v>
      </c>
      <c r="M12" s="118">
        <v>3.5</v>
      </c>
      <c r="N12" s="118">
        <v>3.8</v>
      </c>
      <c r="O12" s="118">
        <v>27</v>
      </c>
      <c r="P12" s="118"/>
      <c r="Q12" s="118">
        <v>2025</v>
      </c>
      <c r="R12" s="118">
        <v>29</v>
      </c>
      <c r="S12" s="118"/>
      <c r="T12" s="118">
        <v>2227</v>
      </c>
    </row>
    <row r="13" spans="1:39" x14ac:dyDescent="0.35">
      <c r="A13" s="23" t="s">
        <v>41</v>
      </c>
      <c r="B13" s="118">
        <v>67</v>
      </c>
      <c r="C13" s="118">
        <v>80</v>
      </c>
      <c r="D13" s="118">
        <v>90</v>
      </c>
      <c r="E13" s="118">
        <v>55</v>
      </c>
      <c r="F13" s="118">
        <v>76</v>
      </c>
      <c r="G13" s="120">
        <v>0</v>
      </c>
      <c r="H13" s="120">
        <v>0</v>
      </c>
      <c r="I13" s="118">
        <v>35</v>
      </c>
      <c r="J13" s="118">
        <v>80</v>
      </c>
      <c r="K13" s="118">
        <v>70</v>
      </c>
      <c r="L13" s="118">
        <v>70</v>
      </c>
      <c r="M13" s="118">
        <v>3.2</v>
      </c>
      <c r="N13" s="118">
        <v>3.1</v>
      </c>
      <c r="O13" s="121" t="s">
        <v>49</v>
      </c>
      <c r="P13" s="120">
        <v>0</v>
      </c>
      <c r="Q13" s="121">
        <v>238</v>
      </c>
      <c r="R13" s="121">
        <v>0</v>
      </c>
      <c r="S13" s="121">
        <v>0</v>
      </c>
      <c r="T13" s="121">
        <v>238</v>
      </c>
    </row>
    <row r="14" spans="1:39" x14ac:dyDescent="0.35">
      <c r="A14" s="23" t="s">
        <v>42</v>
      </c>
      <c r="B14" s="118">
        <v>70</v>
      </c>
      <c r="C14" s="118">
        <v>80</v>
      </c>
      <c r="D14" s="118">
        <v>80</v>
      </c>
      <c r="E14" s="118">
        <v>58</v>
      </c>
      <c r="F14" s="118">
        <v>100</v>
      </c>
      <c r="G14" s="118">
        <v>100</v>
      </c>
      <c r="H14" s="118">
        <v>0</v>
      </c>
      <c r="I14" s="118">
        <v>33.75</v>
      </c>
      <c r="J14" s="118">
        <v>70</v>
      </c>
      <c r="K14" s="118">
        <v>0</v>
      </c>
      <c r="L14" s="118">
        <v>60</v>
      </c>
      <c r="M14" s="118">
        <v>4.3</v>
      </c>
      <c r="N14" s="118">
        <v>3.6</v>
      </c>
      <c r="O14" s="118">
        <v>60</v>
      </c>
      <c r="P14" s="118">
        <v>14</v>
      </c>
      <c r="Q14" s="118">
        <v>34428</v>
      </c>
      <c r="R14" s="118">
        <v>60</v>
      </c>
      <c r="S14" s="118">
        <v>14</v>
      </c>
      <c r="T14" s="118">
        <v>34428</v>
      </c>
    </row>
    <row r="15" spans="1:39" x14ac:dyDescent="0.35">
      <c r="A15" s="23" t="s">
        <v>43</v>
      </c>
      <c r="B15" s="118">
        <v>68</v>
      </c>
      <c r="C15" s="118">
        <v>80</v>
      </c>
      <c r="D15" s="118">
        <v>70</v>
      </c>
      <c r="E15" s="118">
        <v>56</v>
      </c>
      <c r="F15" s="118">
        <v>80</v>
      </c>
      <c r="G15" s="118">
        <v>100</v>
      </c>
      <c r="H15" s="118" t="s">
        <v>50</v>
      </c>
      <c r="I15" s="118" t="s">
        <v>50</v>
      </c>
      <c r="J15" s="118">
        <v>80</v>
      </c>
      <c r="K15" s="118">
        <v>85</v>
      </c>
      <c r="L15" s="118">
        <v>65</v>
      </c>
      <c r="M15" s="118">
        <v>4.5</v>
      </c>
      <c r="N15" s="118">
        <v>4</v>
      </c>
      <c r="O15" s="118">
        <v>0</v>
      </c>
      <c r="P15" s="118">
        <v>0</v>
      </c>
      <c r="Q15" s="118">
        <v>260</v>
      </c>
      <c r="R15" s="118">
        <v>0</v>
      </c>
      <c r="S15" s="118">
        <v>0</v>
      </c>
      <c r="T15" s="118">
        <v>260</v>
      </c>
    </row>
    <row r="16" spans="1:39" x14ac:dyDescent="0.35">
      <c r="A16" s="23" t="s">
        <v>44</v>
      </c>
      <c r="B16" s="31">
        <v>70</v>
      </c>
      <c r="C16" s="31">
        <v>80</v>
      </c>
      <c r="D16" s="31">
        <v>75</v>
      </c>
      <c r="E16" s="31">
        <v>53</v>
      </c>
      <c r="F16" s="81">
        <v>95</v>
      </c>
      <c r="G16" s="24" t="s">
        <v>49</v>
      </c>
      <c r="H16" s="24" t="s">
        <v>49</v>
      </c>
      <c r="I16" s="24" t="s">
        <v>49</v>
      </c>
      <c r="J16" s="31">
        <v>80</v>
      </c>
      <c r="K16" s="31">
        <v>80</v>
      </c>
      <c r="L16" s="31">
        <v>80</v>
      </c>
      <c r="M16" s="31">
        <v>4.5</v>
      </c>
      <c r="N16" s="31">
        <v>4</v>
      </c>
      <c r="O16" s="24">
        <v>0</v>
      </c>
      <c r="P16" s="24">
        <v>0</v>
      </c>
      <c r="Q16" s="24">
        <v>249</v>
      </c>
      <c r="R16" s="24">
        <v>0</v>
      </c>
      <c r="S16" s="24">
        <v>0</v>
      </c>
      <c r="T16" s="24">
        <v>249</v>
      </c>
    </row>
    <row r="17" spans="1:22" x14ac:dyDescent="0.35">
      <c r="A17" s="23" t="s">
        <v>45</v>
      </c>
      <c r="B17" s="121">
        <v>100</v>
      </c>
      <c r="C17" s="121">
        <v>100</v>
      </c>
      <c r="D17" s="121">
        <v>120</v>
      </c>
      <c r="E17" s="121">
        <v>55</v>
      </c>
      <c r="F17" s="121">
        <v>100</v>
      </c>
      <c r="G17" s="121" t="s">
        <v>52</v>
      </c>
      <c r="H17" s="121" t="s">
        <v>52</v>
      </c>
      <c r="I17" s="121" t="s">
        <v>52</v>
      </c>
      <c r="J17" s="121">
        <v>100</v>
      </c>
      <c r="K17" s="121">
        <v>100</v>
      </c>
      <c r="L17" s="121">
        <v>100</v>
      </c>
      <c r="M17" s="121">
        <v>4.5</v>
      </c>
      <c r="N17" s="121" t="s">
        <v>52</v>
      </c>
      <c r="O17" s="121" t="s">
        <v>53</v>
      </c>
      <c r="P17" s="121" t="s">
        <v>53</v>
      </c>
      <c r="Q17" s="122" t="s">
        <v>53</v>
      </c>
      <c r="R17" s="121" t="s">
        <v>53</v>
      </c>
      <c r="S17" s="121" t="s">
        <v>53</v>
      </c>
      <c r="T17" s="121">
        <v>20</v>
      </c>
    </row>
    <row r="18" spans="1:22" x14ac:dyDescent="0.35">
      <c r="A18" s="23" t="s">
        <v>46</v>
      </c>
      <c r="B18" s="31">
        <v>70</v>
      </c>
      <c r="C18" s="31">
        <v>90</v>
      </c>
      <c r="D18" s="31">
        <v>70</v>
      </c>
      <c r="E18" s="31">
        <v>59</v>
      </c>
      <c r="F18" s="119">
        <v>85</v>
      </c>
      <c r="G18" s="121">
        <v>0</v>
      </c>
      <c r="H18" s="121">
        <v>0</v>
      </c>
      <c r="I18" s="121">
        <v>0</v>
      </c>
      <c r="J18" s="31">
        <v>80</v>
      </c>
      <c r="K18" s="31">
        <v>100</v>
      </c>
      <c r="L18" s="31">
        <v>80</v>
      </c>
      <c r="M18" s="31">
        <v>5</v>
      </c>
      <c r="N18" s="31">
        <v>4</v>
      </c>
      <c r="O18" s="121">
        <v>0</v>
      </c>
      <c r="P18" s="121">
        <v>0</v>
      </c>
      <c r="Q18" s="121">
        <v>113</v>
      </c>
      <c r="R18" s="121">
        <v>0</v>
      </c>
      <c r="S18" s="121">
        <v>0</v>
      </c>
      <c r="T18" s="121">
        <v>113</v>
      </c>
    </row>
    <row r="19" spans="1:22" x14ac:dyDescent="0.35">
      <c r="A19" s="25" t="s">
        <v>47</v>
      </c>
      <c r="B19" s="31" t="s">
        <v>49</v>
      </c>
      <c r="C19" s="31" t="s">
        <v>49</v>
      </c>
      <c r="D19" s="31" t="s">
        <v>49</v>
      </c>
      <c r="E19" s="31">
        <v>60</v>
      </c>
      <c r="F19" s="31">
        <v>75</v>
      </c>
      <c r="G19" s="31" t="s">
        <v>49</v>
      </c>
      <c r="H19" s="31">
        <v>33</v>
      </c>
      <c r="I19" s="31">
        <v>40</v>
      </c>
      <c r="J19" s="31">
        <v>100</v>
      </c>
      <c r="K19" s="31" t="s">
        <v>49</v>
      </c>
      <c r="L19" s="31" t="s">
        <v>49</v>
      </c>
      <c r="M19" s="31">
        <v>3.8</v>
      </c>
      <c r="N19" s="31" t="s">
        <v>49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</row>
    <row r="20" spans="1:22" s="4" customFormat="1" ht="21.75" hidden="1" customHeight="1" x14ac:dyDescent="0.35">
      <c r="A20" s="9"/>
      <c r="B20" s="11">
        <f>SUM(B9:B19)</f>
        <v>642</v>
      </c>
      <c r="C20" s="11">
        <f t="shared" ref="C20:N20" si="0">SUM(C9:C19)</f>
        <v>749</v>
      </c>
      <c r="D20" s="11">
        <f>SUM(D9:D19)</f>
        <v>712</v>
      </c>
      <c r="E20" s="11">
        <f t="shared" si="0"/>
        <v>633</v>
      </c>
      <c r="F20" s="12">
        <f>SUM(F9:F19)</f>
        <v>827</v>
      </c>
      <c r="G20" s="11">
        <f t="shared" si="0"/>
        <v>200</v>
      </c>
      <c r="H20" s="12">
        <f t="shared" si="0"/>
        <v>71</v>
      </c>
      <c r="I20" s="11">
        <f t="shared" si="0"/>
        <v>232.75</v>
      </c>
      <c r="J20" s="11">
        <f t="shared" si="0"/>
        <v>916</v>
      </c>
      <c r="K20" s="11">
        <f t="shared" si="0"/>
        <v>737</v>
      </c>
      <c r="L20" s="11">
        <f t="shared" si="0"/>
        <v>749</v>
      </c>
      <c r="M20" s="11">
        <f t="shared" si="0"/>
        <v>44.15</v>
      </c>
      <c r="N20" s="11">
        <f t="shared" si="0"/>
        <v>34.700000000000003</v>
      </c>
      <c r="O20" s="1"/>
      <c r="P20" s="1"/>
      <c r="Q20" s="13"/>
      <c r="R20" s="1"/>
      <c r="S20" s="1"/>
      <c r="T20" s="1"/>
      <c r="U20" s="3"/>
      <c r="V20" s="2"/>
    </row>
    <row r="21" spans="1:22" s="4" customFormat="1" x14ac:dyDescent="0.35">
      <c r="A21" s="9" t="s">
        <v>26</v>
      </c>
      <c r="B21" s="11">
        <f>642/9</f>
        <v>71.333333333333329</v>
      </c>
      <c r="C21" s="11">
        <f>749/9</f>
        <v>83.222222222222229</v>
      </c>
      <c r="D21" s="11">
        <f>712/9</f>
        <v>79.111111111111114</v>
      </c>
      <c r="E21" s="11">
        <f>633/11</f>
        <v>57.545454545454547</v>
      </c>
      <c r="F21" s="11">
        <f>827/10</f>
        <v>82.7</v>
      </c>
      <c r="G21" s="11">
        <v>100</v>
      </c>
      <c r="H21" s="12">
        <f>71/2</f>
        <v>35.5</v>
      </c>
      <c r="I21" s="11">
        <f>232.75/6</f>
        <v>38.791666666666664</v>
      </c>
      <c r="J21" s="11">
        <f>916/11</f>
        <v>83.272727272727266</v>
      </c>
      <c r="K21" s="11">
        <f>737/9</f>
        <v>81.888888888888886</v>
      </c>
      <c r="L21" s="11">
        <f>749/10</f>
        <v>74.900000000000006</v>
      </c>
      <c r="M21" s="11">
        <f>44.15/11</f>
        <v>4.0136363636363637</v>
      </c>
      <c r="N21" s="1">
        <f>34.7/9</f>
        <v>3.8555555555555561</v>
      </c>
      <c r="O21" s="14">
        <f>O9+O12+O14</f>
        <v>113</v>
      </c>
      <c r="P21" s="14">
        <v>14</v>
      </c>
      <c r="Q21" s="14">
        <f>Q9+Q10+Q11+Q12+Q13+Q14+Q15+Q16+Q18</f>
        <v>39759</v>
      </c>
      <c r="R21" s="14">
        <v>113</v>
      </c>
      <c r="S21" s="14">
        <v>14</v>
      </c>
      <c r="T21" s="14">
        <f>T9+T10+T11+T12+T13+T14+T15+T16+T17+T18</f>
        <v>39981</v>
      </c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  <c r="Q26" s="10">
        <f>29/9</f>
        <v>3.2222222222222223</v>
      </c>
    </row>
    <row r="27" spans="1:22" x14ac:dyDescent="0.35">
      <c r="A27" s="10" t="s">
        <v>29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12" right="0.12" top="0.2" bottom="0.2" header="0.2" footer="0.2"/>
  <pageSetup paperSize="9" scale="8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4"/>
  <sheetViews>
    <sheetView topLeftCell="A13" workbookViewId="0">
      <selection activeCell="Q26" sqref="Q26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8.5" style="10" customWidth="1"/>
    <col min="6" max="6" width="8.25" style="10" customWidth="1"/>
    <col min="7" max="7" width="8.125" style="10" customWidth="1"/>
    <col min="8" max="8" width="5.5" style="10" customWidth="1"/>
    <col min="9" max="9" width="8.875" style="10" customWidth="1"/>
    <col min="10" max="10" width="8.625" style="10" customWidth="1"/>
    <col min="11" max="12" width="7.75" style="10" customWidth="1"/>
    <col min="13" max="13" width="8.375" style="10" customWidth="1"/>
    <col min="14" max="14" width="8.75" style="10" customWidth="1"/>
    <col min="15" max="15" width="4.625" style="10" customWidth="1"/>
    <col min="16" max="16" width="5.5" style="10" customWidth="1"/>
    <col min="17" max="17" width="7.875" style="10" customWidth="1"/>
    <col min="18" max="18" width="4.875" style="10" customWidth="1"/>
    <col min="19" max="19" width="5.875" style="10" customWidth="1"/>
    <col min="20" max="20" width="8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56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22" t="s">
        <v>37</v>
      </c>
      <c r="B9" s="135">
        <v>70</v>
      </c>
      <c r="C9" s="135">
        <v>80</v>
      </c>
      <c r="D9" s="135">
        <v>70</v>
      </c>
      <c r="E9" s="135">
        <v>62</v>
      </c>
      <c r="F9" s="135">
        <v>65</v>
      </c>
      <c r="G9" s="135">
        <v>0</v>
      </c>
      <c r="H9" s="135">
        <v>35</v>
      </c>
      <c r="I9" s="135">
        <v>0</v>
      </c>
      <c r="J9" s="135">
        <v>70</v>
      </c>
      <c r="K9" s="135">
        <v>60</v>
      </c>
      <c r="L9" s="135">
        <v>65</v>
      </c>
      <c r="M9" s="135">
        <v>3.8</v>
      </c>
      <c r="N9" s="135">
        <v>4</v>
      </c>
      <c r="O9" s="136">
        <v>26</v>
      </c>
      <c r="P9" s="133">
        <v>0</v>
      </c>
      <c r="Q9" s="136">
        <v>1266</v>
      </c>
      <c r="R9" s="136">
        <v>22</v>
      </c>
      <c r="S9" s="134">
        <v>0</v>
      </c>
      <c r="T9" s="136">
        <v>1266</v>
      </c>
    </row>
    <row r="10" spans="1:39" x14ac:dyDescent="0.35">
      <c r="A10" s="23" t="s">
        <v>38</v>
      </c>
      <c r="B10" s="128">
        <v>66</v>
      </c>
      <c r="C10" s="128">
        <v>77</v>
      </c>
      <c r="D10" s="128">
        <v>80</v>
      </c>
      <c r="E10" s="128">
        <v>55</v>
      </c>
      <c r="F10" s="128">
        <v>75</v>
      </c>
      <c r="G10" s="128" t="s">
        <v>49</v>
      </c>
      <c r="H10" s="128" t="s">
        <v>49</v>
      </c>
      <c r="I10" s="128">
        <v>45</v>
      </c>
      <c r="J10" s="128">
        <v>79</v>
      </c>
      <c r="K10" s="128">
        <v>78</v>
      </c>
      <c r="L10" s="128">
        <v>80</v>
      </c>
      <c r="M10" s="128">
        <v>4</v>
      </c>
      <c r="N10" s="128">
        <v>4.5</v>
      </c>
      <c r="O10" s="128" t="s">
        <v>49</v>
      </c>
      <c r="P10" s="128" t="s">
        <v>49</v>
      </c>
      <c r="Q10" s="128">
        <v>529</v>
      </c>
      <c r="R10" s="128" t="s">
        <v>49</v>
      </c>
      <c r="S10" s="128" t="s">
        <v>49</v>
      </c>
      <c r="T10" s="128">
        <v>529</v>
      </c>
    </row>
    <row r="11" spans="1:39" x14ac:dyDescent="0.35">
      <c r="A11" s="23" t="s">
        <v>39</v>
      </c>
      <c r="B11" s="128">
        <v>65</v>
      </c>
      <c r="C11" s="128">
        <v>80</v>
      </c>
      <c r="D11" s="128">
        <v>65</v>
      </c>
      <c r="E11" s="128">
        <v>62</v>
      </c>
      <c r="F11" s="128">
        <v>75</v>
      </c>
      <c r="G11" s="129">
        <v>0</v>
      </c>
      <c r="H11" s="129">
        <v>0</v>
      </c>
      <c r="I11" s="128">
        <v>40</v>
      </c>
      <c r="J11" s="128">
        <v>85</v>
      </c>
      <c r="K11" s="128">
        <v>80</v>
      </c>
      <c r="L11" s="128">
        <v>70</v>
      </c>
      <c r="M11" s="128">
        <v>2.85</v>
      </c>
      <c r="N11" s="128">
        <v>3.5</v>
      </c>
      <c r="O11" s="130" t="s">
        <v>49</v>
      </c>
      <c r="P11" s="129">
        <v>0</v>
      </c>
      <c r="Q11" s="130">
        <v>473</v>
      </c>
      <c r="R11" s="130">
        <v>0</v>
      </c>
      <c r="S11" s="130">
        <v>0</v>
      </c>
      <c r="T11" s="125">
        <v>473</v>
      </c>
    </row>
    <row r="12" spans="1:39" x14ac:dyDescent="0.35">
      <c r="A12" s="23" t="s">
        <v>40</v>
      </c>
      <c r="B12" s="118">
        <v>67</v>
      </c>
      <c r="C12" s="118" t="s">
        <v>51</v>
      </c>
      <c r="D12" s="118">
        <v>90</v>
      </c>
      <c r="E12" s="118">
        <v>59</v>
      </c>
      <c r="F12" s="118" t="s">
        <v>50</v>
      </c>
      <c r="G12" s="118" t="s">
        <v>50</v>
      </c>
      <c r="H12" s="118" t="s">
        <v>50</v>
      </c>
      <c r="I12" s="118">
        <v>39</v>
      </c>
      <c r="J12" s="118">
        <v>80</v>
      </c>
      <c r="K12" s="118">
        <v>70</v>
      </c>
      <c r="L12" s="118">
        <v>70</v>
      </c>
      <c r="M12" s="118">
        <v>3.5</v>
      </c>
      <c r="N12" s="118">
        <v>3.8</v>
      </c>
      <c r="O12" s="118">
        <v>24</v>
      </c>
      <c r="P12" s="118">
        <v>13</v>
      </c>
      <c r="Q12" s="118">
        <v>2025</v>
      </c>
      <c r="R12" s="118">
        <v>24</v>
      </c>
      <c r="S12" s="118">
        <v>13</v>
      </c>
      <c r="T12" s="118">
        <v>2025</v>
      </c>
    </row>
    <row r="13" spans="1:39" x14ac:dyDescent="0.35">
      <c r="A13" s="23" t="s">
        <v>41</v>
      </c>
      <c r="B13" s="135">
        <v>80</v>
      </c>
      <c r="C13" s="135">
        <v>80</v>
      </c>
      <c r="D13" s="135">
        <v>90</v>
      </c>
      <c r="E13" s="135">
        <v>60</v>
      </c>
      <c r="F13" s="135">
        <v>76</v>
      </c>
      <c r="G13" s="133">
        <v>0</v>
      </c>
      <c r="H13" s="133">
        <v>0</v>
      </c>
      <c r="I13" s="135">
        <v>35</v>
      </c>
      <c r="J13" s="135">
        <v>80</v>
      </c>
      <c r="K13" s="135">
        <v>70</v>
      </c>
      <c r="L13" s="135">
        <v>70</v>
      </c>
      <c r="M13" s="135">
        <v>3.2</v>
      </c>
      <c r="N13" s="135">
        <v>3.1</v>
      </c>
      <c r="O13" s="134" t="s">
        <v>49</v>
      </c>
      <c r="P13" s="133">
        <v>0</v>
      </c>
      <c r="Q13" s="134">
        <v>238</v>
      </c>
      <c r="R13" s="134">
        <v>0</v>
      </c>
      <c r="S13" s="134">
        <v>0</v>
      </c>
      <c r="T13" s="136">
        <v>238</v>
      </c>
    </row>
    <row r="14" spans="1:39" x14ac:dyDescent="0.35">
      <c r="A14" s="23" t="s">
        <v>42</v>
      </c>
      <c r="B14" s="128">
        <v>70</v>
      </c>
      <c r="C14" s="128">
        <v>81</v>
      </c>
      <c r="D14" s="128">
        <v>80</v>
      </c>
      <c r="E14" s="128">
        <v>61.5</v>
      </c>
      <c r="F14" s="128">
        <v>100</v>
      </c>
      <c r="G14" s="128">
        <v>100</v>
      </c>
      <c r="H14" s="128">
        <v>0</v>
      </c>
      <c r="I14" s="128">
        <v>33.75</v>
      </c>
      <c r="J14" s="128">
        <v>70</v>
      </c>
      <c r="K14" s="128">
        <v>0</v>
      </c>
      <c r="L14" s="128">
        <v>60</v>
      </c>
      <c r="M14" s="128">
        <v>4.3</v>
      </c>
      <c r="N14" s="128">
        <v>3.6</v>
      </c>
      <c r="O14" s="128">
        <v>83</v>
      </c>
      <c r="P14" s="128">
        <v>14</v>
      </c>
      <c r="Q14" s="128">
        <v>49126</v>
      </c>
      <c r="R14" s="128">
        <v>83</v>
      </c>
      <c r="S14" s="128">
        <v>14</v>
      </c>
      <c r="T14" s="128">
        <v>49126</v>
      </c>
    </row>
    <row r="15" spans="1:39" x14ac:dyDescent="0.35">
      <c r="A15" s="23" t="s">
        <v>43</v>
      </c>
      <c r="B15" s="128">
        <v>68</v>
      </c>
      <c r="C15" s="128">
        <v>80</v>
      </c>
      <c r="D15" s="128">
        <v>70</v>
      </c>
      <c r="E15" s="128">
        <v>62</v>
      </c>
      <c r="F15" s="128">
        <v>105</v>
      </c>
      <c r="G15" s="128">
        <v>100</v>
      </c>
      <c r="H15" s="128" t="s">
        <v>50</v>
      </c>
      <c r="I15" s="128" t="s">
        <v>50</v>
      </c>
      <c r="J15" s="128">
        <v>80</v>
      </c>
      <c r="K15" s="128">
        <v>85</v>
      </c>
      <c r="L15" s="128">
        <v>65</v>
      </c>
      <c r="M15" s="128">
        <v>4.5</v>
      </c>
      <c r="N15" s="128">
        <v>4</v>
      </c>
      <c r="O15" s="128">
        <v>0</v>
      </c>
      <c r="P15" s="128">
        <v>0</v>
      </c>
      <c r="Q15" s="128">
        <v>140</v>
      </c>
      <c r="R15" s="128">
        <v>0</v>
      </c>
      <c r="S15" s="128">
        <v>0</v>
      </c>
      <c r="T15" s="128">
        <v>140</v>
      </c>
    </row>
    <row r="16" spans="1:39" x14ac:dyDescent="0.35">
      <c r="A16" s="23" t="s">
        <v>44</v>
      </c>
      <c r="B16" s="128">
        <v>70</v>
      </c>
      <c r="C16" s="128">
        <v>81</v>
      </c>
      <c r="D16" s="128">
        <v>75</v>
      </c>
      <c r="E16" s="128">
        <v>58</v>
      </c>
      <c r="F16" s="128">
        <v>90</v>
      </c>
      <c r="G16" s="128" t="s">
        <v>49</v>
      </c>
      <c r="H16" s="128" t="s">
        <v>49</v>
      </c>
      <c r="I16" s="128" t="s">
        <v>49</v>
      </c>
      <c r="J16" s="128">
        <v>90</v>
      </c>
      <c r="K16" s="128">
        <v>80</v>
      </c>
      <c r="L16" s="128">
        <v>80</v>
      </c>
      <c r="M16" s="128">
        <v>4.5</v>
      </c>
      <c r="N16" s="128">
        <v>4</v>
      </c>
      <c r="O16" s="128">
        <v>0</v>
      </c>
      <c r="P16" s="128">
        <v>0</v>
      </c>
      <c r="Q16" s="128">
        <v>328</v>
      </c>
      <c r="R16" s="128">
        <v>0</v>
      </c>
      <c r="S16" s="128">
        <v>0</v>
      </c>
      <c r="T16" s="128">
        <v>328</v>
      </c>
    </row>
    <row r="17" spans="1:22" x14ac:dyDescent="0.35">
      <c r="A17" s="23" t="s">
        <v>45</v>
      </c>
      <c r="B17" s="128">
        <v>100</v>
      </c>
      <c r="C17" s="128">
        <v>100</v>
      </c>
      <c r="D17" s="128">
        <v>120</v>
      </c>
      <c r="E17" s="128">
        <v>61</v>
      </c>
      <c r="F17" s="128">
        <v>100</v>
      </c>
      <c r="G17" s="128" t="s">
        <v>52</v>
      </c>
      <c r="H17" s="128" t="s">
        <v>52</v>
      </c>
      <c r="I17" s="128" t="s">
        <v>52</v>
      </c>
      <c r="J17" s="128">
        <v>100</v>
      </c>
      <c r="K17" s="128">
        <v>100</v>
      </c>
      <c r="L17" s="128">
        <v>100</v>
      </c>
      <c r="M17" s="128">
        <v>4.5</v>
      </c>
      <c r="N17" s="128" t="s">
        <v>52</v>
      </c>
      <c r="O17" s="128" t="s">
        <v>53</v>
      </c>
      <c r="P17" s="128" t="s">
        <v>53</v>
      </c>
      <c r="Q17" s="128" t="s">
        <v>53</v>
      </c>
      <c r="R17" s="128" t="s">
        <v>53</v>
      </c>
      <c r="S17" s="128" t="s">
        <v>53</v>
      </c>
      <c r="T17" s="128">
        <v>20</v>
      </c>
    </row>
    <row r="18" spans="1:22" x14ac:dyDescent="0.35">
      <c r="A18" s="23" t="s">
        <v>46</v>
      </c>
      <c r="B18" s="131">
        <v>70</v>
      </c>
      <c r="C18" s="131">
        <v>90</v>
      </c>
      <c r="D18" s="131">
        <v>70</v>
      </c>
      <c r="E18" s="131">
        <v>60</v>
      </c>
      <c r="F18" s="131">
        <v>85</v>
      </c>
      <c r="G18" s="131">
        <v>0</v>
      </c>
      <c r="H18" s="131">
        <v>0</v>
      </c>
      <c r="I18" s="131">
        <v>0</v>
      </c>
      <c r="J18" s="126">
        <v>80</v>
      </c>
      <c r="K18" s="131">
        <v>100</v>
      </c>
      <c r="L18" s="131">
        <v>80</v>
      </c>
      <c r="M18" s="127">
        <v>5</v>
      </c>
      <c r="N18" s="131">
        <v>4</v>
      </c>
      <c r="O18" s="131">
        <v>0</v>
      </c>
      <c r="P18" s="131">
        <v>0</v>
      </c>
      <c r="Q18" s="132">
        <v>95</v>
      </c>
      <c r="R18" s="131">
        <v>0</v>
      </c>
      <c r="S18" s="131">
        <v>0</v>
      </c>
      <c r="T18" s="131">
        <v>95</v>
      </c>
    </row>
    <row r="19" spans="1:22" x14ac:dyDescent="0.35">
      <c r="A19" s="25" t="s">
        <v>47</v>
      </c>
      <c r="B19" s="131" t="s">
        <v>49</v>
      </c>
      <c r="C19" s="131" t="s">
        <v>49</v>
      </c>
      <c r="D19" s="131" t="s">
        <v>49</v>
      </c>
      <c r="E19" s="131">
        <v>62</v>
      </c>
      <c r="F19" s="131">
        <v>70</v>
      </c>
      <c r="G19" s="131" t="s">
        <v>49</v>
      </c>
      <c r="H19" s="124">
        <v>33</v>
      </c>
      <c r="I19" s="131">
        <v>40</v>
      </c>
      <c r="J19" s="131">
        <v>100</v>
      </c>
      <c r="K19" s="131" t="s">
        <v>49</v>
      </c>
      <c r="L19" s="131" t="s">
        <v>49</v>
      </c>
      <c r="M19" s="131">
        <v>3.8</v>
      </c>
      <c r="N19" s="131" t="s">
        <v>49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  <c r="T19" s="131">
        <v>0</v>
      </c>
    </row>
    <row r="20" spans="1:22" s="4" customFormat="1" ht="21" hidden="1" customHeight="1" x14ac:dyDescent="0.35">
      <c r="A20" s="9"/>
      <c r="B20" s="11">
        <f>B9+B10+B11+B12+B13+B14+B15+B17+B18+B16</f>
        <v>726</v>
      </c>
      <c r="C20" s="11">
        <f>C9+C10+C11+C13+C14+C15+C17+C18+C16</f>
        <v>749</v>
      </c>
      <c r="D20" s="11">
        <f>D9+D10+D11+D12+D13+D14+D15+D17+D18+D16</f>
        <v>810</v>
      </c>
      <c r="E20" s="11">
        <f>E9+E10+E11+E12+E13+E14+E15+E17+E18+E19+E16</f>
        <v>662.5</v>
      </c>
      <c r="F20" s="12">
        <f>F9+F10+F11+F13+F14+F15+F17+F18+F19+F16</f>
        <v>841</v>
      </c>
      <c r="G20" s="11">
        <f>G14+G15</f>
        <v>200</v>
      </c>
      <c r="H20" s="12">
        <f>H9+H19</f>
        <v>68</v>
      </c>
      <c r="I20" s="11">
        <f>I10+I11+I12+I13+I14+I19</f>
        <v>232.75</v>
      </c>
      <c r="J20" s="11">
        <f>J9+J10+J11+J12+J13+J14+J15+J17+J18+J19+J16</f>
        <v>914</v>
      </c>
      <c r="K20" s="11">
        <f>K9+K10+K11+K12+K13+K15+K17+K18+K16</f>
        <v>723</v>
      </c>
      <c r="L20" s="11">
        <f>L9+L10+L11+L12+L13+L14+L15+L17+L18+L16</f>
        <v>740</v>
      </c>
      <c r="M20" s="11">
        <f>M9+M10+M11+M12+M13+M14+M15+M17+M18+M19+M16</f>
        <v>43.95</v>
      </c>
      <c r="N20" s="11">
        <f>N9+N10+N11+N12+N13+N14+N15+N18+N16</f>
        <v>34.5</v>
      </c>
      <c r="O20" s="1">
        <f>O9+O12+O14</f>
        <v>133</v>
      </c>
      <c r="P20" s="1">
        <f>P12+P14</f>
        <v>27</v>
      </c>
      <c r="Q20" s="13">
        <f>Q9+Q10+Q11+Q12+Q14+Q13+Q15+Q18+Q16</f>
        <v>54220</v>
      </c>
      <c r="R20" s="12">
        <f>R9+R12+R14</f>
        <v>129</v>
      </c>
      <c r="S20" s="1">
        <f>S12+S14</f>
        <v>27</v>
      </c>
      <c r="T20" s="13">
        <f>T9+T10+T11+T12+T13+T14+T15+T17+T18+T16</f>
        <v>54240</v>
      </c>
      <c r="U20" s="3"/>
      <c r="V20" s="2"/>
    </row>
    <row r="21" spans="1:22" s="4" customFormat="1" x14ac:dyDescent="0.35">
      <c r="A21" s="9" t="s">
        <v>26</v>
      </c>
      <c r="B21" s="11">
        <f>656/10</f>
        <v>65.599999999999994</v>
      </c>
      <c r="C21" s="11">
        <f>668/9</f>
        <v>74.222222222222229</v>
      </c>
      <c r="D21" s="11">
        <f>735/10</f>
        <v>73.5</v>
      </c>
      <c r="E21" s="11">
        <f>604.5/11</f>
        <v>54.954545454545453</v>
      </c>
      <c r="F21" s="11">
        <f>751/10</f>
        <v>75.099999999999994</v>
      </c>
      <c r="G21" s="11">
        <v>100</v>
      </c>
      <c r="H21" s="12">
        <f>68/2</f>
        <v>34</v>
      </c>
      <c r="I21" s="11">
        <f>232.75/6</f>
        <v>38.791666666666664</v>
      </c>
      <c r="J21" s="11">
        <f>824/11</f>
        <v>74.909090909090907</v>
      </c>
      <c r="K21" s="11">
        <f>643/9</f>
        <v>71.444444444444443</v>
      </c>
      <c r="L21" s="11">
        <f>660/10</f>
        <v>66</v>
      </c>
      <c r="M21" s="11">
        <f>39.45/11</f>
        <v>3.5863636363636364</v>
      </c>
      <c r="N21" s="1">
        <f>34.5/9</f>
        <v>3.8333333333333335</v>
      </c>
      <c r="O21" s="14">
        <v>133</v>
      </c>
      <c r="P21" s="14">
        <v>27</v>
      </c>
      <c r="Q21" s="14">
        <v>54220</v>
      </c>
      <c r="R21" s="14">
        <v>129</v>
      </c>
      <c r="S21" s="14">
        <v>27</v>
      </c>
      <c r="T21" s="14">
        <v>54240</v>
      </c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18" right="0.16" top="0.3" bottom="0.12" header="0.3" footer="0.15"/>
  <pageSetup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4"/>
  <sheetViews>
    <sheetView zoomScale="77" zoomScaleNormal="77" workbookViewId="0">
      <selection activeCell="E16" sqref="E16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8.25" style="10" customWidth="1"/>
    <col min="7" max="7" width="8.1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75" style="10" customWidth="1"/>
    <col min="15" max="15" width="4.125" style="10" customWidth="1"/>
    <col min="16" max="16" width="5.5" style="10" customWidth="1"/>
    <col min="17" max="17" width="7.875" style="10" customWidth="1"/>
    <col min="18" max="18" width="4.875" style="10" customWidth="1"/>
    <col min="19" max="19" width="5.875" style="10" customWidth="1"/>
    <col min="20" max="20" width="7.1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16" t="s">
        <v>37</v>
      </c>
      <c r="B9" s="26"/>
      <c r="C9" s="26"/>
      <c r="D9" s="26"/>
      <c r="E9" s="26"/>
      <c r="F9" s="26"/>
      <c r="G9" s="27"/>
      <c r="H9" s="35"/>
      <c r="I9" s="26"/>
      <c r="J9" s="26"/>
      <c r="K9" s="26"/>
      <c r="L9" s="26"/>
      <c r="M9" s="26"/>
      <c r="N9" s="26"/>
      <c r="O9" s="34"/>
      <c r="P9" s="27"/>
      <c r="Q9" s="34"/>
      <c r="R9" s="34"/>
      <c r="S9" s="24"/>
      <c r="T9" s="34"/>
    </row>
    <row r="10" spans="1:39" x14ac:dyDescent="0.35">
      <c r="A10" s="16" t="s">
        <v>38</v>
      </c>
      <c r="B10" s="140">
        <v>67</v>
      </c>
      <c r="C10" s="140">
        <v>78</v>
      </c>
      <c r="D10" s="140">
        <v>80</v>
      </c>
      <c r="E10" s="140">
        <v>58</v>
      </c>
      <c r="F10" s="140">
        <v>90</v>
      </c>
      <c r="G10" s="140" t="s">
        <v>49</v>
      </c>
      <c r="H10" s="140" t="s">
        <v>49</v>
      </c>
      <c r="I10" s="140">
        <v>45</v>
      </c>
      <c r="J10" s="140">
        <v>80</v>
      </c>
      <c r="K10" s="140">
        <v>78</v>
      </c>
      <c r="L10" s="140">
        <v>80</v>
      </c>
      <c r="M10" s="140">
        <v>4</v>
      </c>
      <c r="N10" s="140">
        <v>4.5</v>
      </c>
      <c r="O10" s="140" t="s">
        <v>49</v>
      </c>
      <c r="P10" s="140" t="s">
        <v>49</v>
      </c>
      <c r="Q10" s="140">
        <v>534</v>
      </c>
      <c r="R10" s="140" t="s">
        <v>49</v>
      </c>
      <c r="S10" s="140" t="s">
        <v>49</v>
      </c>
      <c r="T10" s="140">
        <v>534</v>
      </c>
    </row>
    <row r="11" spans="1:39" x14ac:dyDescent="0.35">
      <c r="A11" s="16" t="s">
        <v>39</v>
      </c>
      <c r="B11" s="139">
        <v>65</v>
      </c>
      <c r="C11" s="139">
        <v>80</v>
      </c>
      <c r="D11" s="139">
        <v>65</v>
      </c>
      <c r="E11" s="139">
        <v>62</v>
      </c>
      <c r="F11" s="139">
        <v>75</v>
      </c>
      <c r="G11" s="137">
        <v>0</v>
      </c>
      <c r="H11" s="137">
        <v>0</v>
      </c>
      <c r="I11" s="139">
        <v>40</v>
      </c>
      <c r="J11" s="139">
        <v>85</v>
      </c>
      <c r="K11" s="139">
        <v>80</v>
      </c>
      <c r="L11" s="139">
        <v>70</v>
      </c>
      <c r="M11" s="139">
        <v>2.85</v>
      </c>
      <c r="N11" s="139">
        <v>3.5</v>
      </c>
      <c r="O11" s="138" t="s">
        <v>49</v>
      </c>
      <c r="P11" s="137">
        <v>0</v>
      </c>
      <c r="Q11" s="138">
        <v>473</v>
      </c>
      <c r="R11" s="138">
        <v>0</v>
      </c>
      <c r="S11" s="138">
        <v>0</v>
      </c>
      <c r="T11" s="138">
        <v>473</v>
      </c>
      <c r="U11"/>
    </row>
    <row r="12" spans="1:39" x14ac:dyDescent="0.35">
      <c r="A12" s="16" t="s">
        <v>40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36"/>
      <c r="Q12" s="37"/>
      <c r="R12" s="37"/>
      <c r="S12" s="37"/>
      <c r="T12" s="37"/>
    </row>
    <row r="13" spans="1:39" x14ac:dyDescent="0.35">
      <c r="A13" s="16" t="s">
        <v>41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39" x14ac:dyDescent="0.35">
      <c r="A14" s="16" t="s">
        <v>42</v>
      </c>
      <c r="B14" s="139">
        <v>70</v>
      </c>
      <c r="C14" s="139">
        <v>83</v>
      </c>
      <c r="D14" s="139">
        <v>80</v>
      </c>
      <c r="E14" s="139">
        <v>63.5</v>
      </c>
      <c r="F14" s="139">
        <v>100</v>
      </c>
      <c r="G14" s="139">
        <v>100</v>
      </c>
      <c r="H14" s="139">
        <v>0</v>
      </c>
      <c r="I14" s="139">
        <v>33.75</v>
      </c>
      <c r="J14" s="139">
        <v>70</v>
      </c>
      <c r="K14" s="139">
        <v>0</v>
      </c>
      <c r="L14" s="139">
        <v>60</v>
      </c>
      <c r="M14" s="139">
        <v>4.3</v>
      </c>
      <c r="N14" s="139">
        <v>3.6</v>
      </c>
      <c r="O14" s="139">
        <f>SUM(O4:O13)</f>
        <v>0</v>
      </c>
      <c r="P14" s="139">
        <f>SUM(P4:P13)</f>
        <v>0</v>
      </c>
      <c r="Q14" s="139">
        <f>SUM(Q4:Q13)</f>
        <v>1007</v>
      </c>
      <c r="R14" s="139">
        <f t="shared" ref="R14:S14" si="0">SUM(R4:R13)</f>
        <v>0</v>
      </c>
      <c r="S14" s="139">
        <f t="shared" si="0"/>
        <v>0</v>
      </c>
      <c r="T14" s="139">
        <f>SUM(T4:T13)</f>
        <v>1007</v>
      </c>
    </row>
    <row r="15" spans="1:39" x14ac:dyDescent="0.35">
      <c r="A15" s="16" t="s">
        <v>43</v>
      </c>
      <c r="B15" s="139">
        <v>68</v>
      </c>
      <c r="C15" s="139">
        <v>80</v>
      </c>
      <c r="D15" s="139">
        <v>70</v>
      </c>
      <c r="E15" s="139">
        <v>60</v>
      </c>
      <c r="F15" s="139">
        <v>100</v>
      </c>
      <c r="G15" s="139">
        <v>100</v>
      </c>
      <c r="H15" s="139" t="s">
        <v>66</v>
      </c>
      <c r="I15" s="139" t="s">
        <v>66</v>
      </c>
      <c r="J15" s="139">
        <v>80</v>
      </c>
      <c r="K15" s="139">
        <v>85</v>
      </c>
      <c r="L15" s="139">
        <v>65</v>
      </c>
      <c r="M15" s="139">
        <v>3.9</v>
      </c>
      <c r="N15" s="139">
        <v>4</v>
      </c>
      <c r="O15" s="139" t="s">
        <v>51</v>
      </c>
      <c r="P15" s="139" t="s">
        <v>51</v>
      </c>
      <c r="Q15" s="139">
        <v>260</v>
      </c>
      <c r="R15" s="139" t="s">
        <v>51</v>
      </c>
      <c r="S15" s="139" t="s">
        <v>51</v>
      </c>
      <c r="T15" s="139">
        <v>260</v>
      </c>
    </row>
    <row r="16" spans="1:39" x14ac:dyDescent="0.35">
      <c r="A16" s="16" t="s">
        <v>44</v>
      </c>
      <c r="B16" s="139">
        <v>67</v>
      </c>
      <c r="C16" s="139">
        <v>70</v>
      </c>
      <c r="D16" s="139">
        <v>65</v>
      </c>
      <c r="E16" s="139">
        <v>65</v>
      </c>
      <c r="F16" s="139">
        <v>80</v>
      </c>
      <c r="G16" s="139" t="s">
        <v>49</v>
      </c>
      <c r="H16" s="139" t="s">
        <v>49</v>
      </c>
      <c r="I16" s="139" t="s">
        <v>49</v>
      </c>
      <c r="J16" s="139">
        <v>90</v>
      </c>
      <c r="K16" s="139">
        <v>85</v>
      </c>
      <c r="L16" s="139">
        <v>75</v>
      </c>
      <c r="M16" s="139">
        <v>3.5</v>
      </c>
      <c r="N16" s="139">
        <v>4</v>
      </c>
      <c r="O16" s="139">
        <v>0</v>
      </c>
      <c r="P16" s="139">
        <v>0</v>
      </c>
      <c r="Q16" s="139">
        <v>429</v>
      </c>
      <c r="R16" s="139">
        <v>0</v>
      </c>
      <c r="S16" s="139">
        <v>0</v>
      </c>
      <c r="T16" s="139">
        <v>429</v>
      </c>
    </row>
    <row r="17" spans="1:22" x14ac:dyDescent="0.35">
      <c r="A17" s="16" t="s">
        <v>45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2" x14ac:dyDescent="0.35">
      <c r="A18" s="16" t="s">
        <v>46</v>
      </c>
      <c r="B18" s="71">
        <v>80</v>
      </c>
      <c r="C18" s="71">
        <v>90</v>
      </c>
      <c r="D18" s="71">
        <v>80</v>
      </c>
      <c r="E18" s="71">
        <v>64</v>
      </c>
      <c r="F18" s="142">
        <v>100</v>
      </c>
      <c r="G18" s="141">
        <v>0</v>
      </c>
      <c r="H18" s="141">
        <v>0</v>
      </c>
      <c r="I18" s="141">
        <v>0</v>
      </c>
      <c r="J18" s="70">
        <v>80</v>
      </c>
      <c r="K18" s="70">
        <v>100</v>
      </c>
      <c r="L18" s="70">
        <v>80</v>
      </c>
      <c r="M18" s="70">
        <v>5</v>
      </c>
      <c r="N18" s="70">
        <v>4</v>
      </c>
      <c r="O18" s="141">
        <v>0</v>
      </c>
      <c r="P18" s="141">
        <v>0</v>
      </c>
      <c r="Q18" s="141">
        <v>95</v>
      </c>
      <c r="R18" s="141">
        <v>0</v>
      </c>
      <c r="S18" s="141">
        <v>0</v>
      </c>
      <c r="T18" s="141">
        <v>95</v>
      </c>
    </row>
    <row r="19" spans="1:22" ht="21.75" customHeight="1" x14ac:dyDescent="0.35">
      <c r="A19" s="16" t="s">
        <v>47</v>
      </c>
      <c r="B19" s="36"/>
      <c r="C19" s="36"/>
      <c r="D19" s="36"/>
      <c r="E19" s="36"/>
      <c r="F19" s="36"/>
      <c r="G19" s="36"/>
      <c r="H19" s="37"/>
      <c r="I19" s="37"/>
      <c r="J19" s="37"/>
      <c r="K19" s="37"/>
      <c r="L19" s="36"/>
      <c r="M19" s="36"/>
      <c r="N19" s="36"/>
      <c r="O19" s="38"/>
      <c r="P19" s="36"/>
      <c r="Q19" s="36"/>
      <c r="R19" s="36"/>
      <c r="S19" s="36"/>
      <c r="T19" s="36"/>
    </row>
    <row r="20" spans="1:22" s="4" customFormat="1" ht="22.5" hidden="1" customHeight="1" x14ac:dyDescent="0.35">
      <c r="A20" s="9"/>
      <c r="B20" s="41">
        <f>B9+B10+B11+B13+B14+B15+B16+B17+B18</f>
        <v>417</v>
      </c>
      <c r="C20" s="41">
        <f t="shared" ref="C20:D20" si="1">C9+C10+C11+C13+C14+C15+C16+C17+C18</f>
        <v>481</v>
      </c>
      <c r="D20" s="41">
        <f t="shared" si="1"/>
        <v>440</v>
      </c>
      <c r="E20" s="39">
        <f>E9+E10+E11+E12+E13+E14+E15+E16+E17+E18+E19</f>
        <v>372.5</v>
      </c>
      <c r="F20" s="39">
        <f>F9+F10+F11+F13+F14+F15+F16+F17+F18+F19</f>
        <v>545</v>
      </c>
      <c r="G20" s="15">
        <v>220</v>
      </c>
      <c r="H20" s="15">
        <v>33</v>
      </c>
      <c r="I20" s="41">
        <f>I9+I10+I12+I13+I14+I19</f>
        <v>78.75</v>
      </c>
      <c r="J20" s="39">
        <f>J9+J10+J11+J12+J13+J14+J15+J16+J17+J18+J19</f>
        <v>485</v>
      </c>
      <c r="K20" s="41">
        <f>K9+K10+K11+K12+K13+K15+K16+K17+K18</f>
        <v>428</v>
      </c>
      <c r="L20" s="41">
        <f>L9+L10+L11+L12+L13+L14+L15+L16+L17+L18</f>
        <v>430</v>
      </c>
      <c r="M20" s="41">
        <f>M9+M10+M11+M12+M13+M14+M15+M16+M17+M18+M19</f>
        <v>23.549999999999997</v>
      </c>
      <c r="N20" s="41">
        <f>N9+N10+N11+N12+N13+N14+N15+N16+N18</f>
        <v>23.6</v>
      </c>
      <c r="O20" s="15"/>
      <c r="P20" s="15"/>
      <c r="Q20" s="15"/>
      <c r="R20" s="15"/>
      <c r="S20" s="15"/>
      <c r="T20" s="15"/>
      <c r="U20" s="3"/>
      <c r="V20" s="2"/>
    </row>
    <row r="21" spans="1:22" s="4" customFormat="1" x14ac:dyDescent="0.35">
      <c r="A21" s="9" t="s">
        <v>26</v>
      </c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  <c r="M21" s="11"/>
      <c r="N21" s="1"/>
      <c r="O21" s="40"/>
      <c r="P21" s="15"/>
      <c r="Q21" s="15"/>
      <c r="R21" s="39"/>
      <c r="S21" s="15"/>
      <c r="T21" s="39">
        <f>T9+T10+T11+T12+T13+T14+T15+T16+T17+T18</f>
        <v>2798</v>
      </c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34"/>
  <sheetViews>
    <sheetView tabSelected="1" topLeftCell="A7" zoomScale="93" zoomScaleNormal="93" workbookViewId="0">
      <selection activeCell="D23" sqref="D23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8.25" style="10" customWidth="1"/>
    <col min="7" max="7" width="8.1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5" style="10" customWidth="1"/>
    <col min="15" max="15" width="4.625" style="10" customWidth="1"/>
    <col min="16" max="16" width="5.5" style="10" customWidth="1"/>
    <col min="17" max="17" width="7.875" style="10" customWidth="1"/>
    <col min="18" max="18" width="4.875" style="10" customWidth="1"/>
    <col min="19" max="19" width="5.875" style="10" customWidth="1"/>
    <col min="20" max="20" width="7.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58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0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16" t="s">
        <v>37</v>
      </c>
      <c r="B9" s="143">
        <v>72</v>
      </c>
      <c r="C9" s="143">
        <v>75</v>
      </c>
      <c r="D9" s="143">
        <v>70</v>
      </c>
      <c r="E9" s="143">
        <v>70</v>
      </c>
      <c r="F9" s="143">
        <v>70</v>
      </c>
      <c r="G9" s="143">
        <v>0</v>
      </c>
      <c r="H9" s="143">
        <v>38</v>
      </c>
      <c r="I9" s="143">
        <v>0</v>
      </c>
      <c r="J9" s="143">
        <v>75</v>
      </c>
      <c r="K9" s="143">
        <v>70</v>
      </c>
      <c r="L9" s="143">
        <v>70</v>
      </c>
      <c r="M9" s="143">
        <v>3.5</v>
      </c>
      <c r="N9" s="143">
        <v>4.2</v>
      </c>
      <c r="O9" s="146">
        <v>20</v>
      </c>
      <c r="P9" s="144">
        <v>0</v>
      </c>
      <c r="Q9" s="146">
        <v>1560</v>
      </c>
      <c r="R9" s="146">
        <v>20</v>
      </c>
      <c r="S9" s="145">
        <v>0</v>
      </c>
      <c r="T9" s="146">
        <v>1560</v>
      </c>
    </row>
    <row r="10" spans="1:39" x14ac:dyDescent="0.35">
      <c r="A10" s="16" t="s">
        <v>38</v>
      </c>
      <c r="B10" s="143">
        <v>68</v>
      </c>
      <c r="C10" s="143">
        <v>79</v>
      </c>
      <c r="D10" s="143">
        <v>79</v>
      </c>
      <c r="E10" s="143">
        <v>55</v>
      </c>
      <c r="F10" s="143">
        <v>98</v>
      </c>
      <c r="G10" s="143" t="s">
        <v>49</v>
      </c>
      <c r="H10" s="143" t="s">
        <v>49</v>
      </c>
      <c r="I10" s="143">
        <v>45</v>
      </c>
      <c r="J10" s="143">
        <v>79</v>
      </c>
      <c r="K10" s="143">
        <v>75</v>
      </c>
      <c r="L10" s="143">
        <v>78</v>
      </c>
      <c r="M10" s="143">
        <v>4</v>
      </c>
      <c r="N10" s="143">
        <v>4.5</v>
      </c>
      <c r="O10" s="143" t="s">
        <v>49</v>
      </c>
      <c r="P10" s="143" t="s">
        <v>49</v>
      </c>
      <c r="Q10" s="143">
        <v>531</v>
      </c>
      <c r="R10" s="143" t="s">
        <v>49</v>
      </c>
      <c r="S10" s="143" t="s">
        <v>49</v>
      </c>
      <c r="T10" s="143">
        <v>531</v>
      </c>
    </row>
    <row r="11" spans="1:39" x14ac:dyDescent="0.35">
      <c r="A11" s="16" t="s">
        <v>39</v>
      </c>
      <c r="B11" s="143">
        <v>65</v>
      </c>
      <c r="C11" s="143">
        <v>80</v>
      </c>
      <c r="D11" s="143">
        <v>65</v>
      </c>
      <c r="E11" s="143">
        <v>63</v>
      </c>
      <c r="F11" s="143">
        <v>75</v>
      </c>
      <c r="G11" s="144">
        <v>0</v>
      </c>
      <c r="H11" s="144">
        <v>0</v>
      </c>
      <c r="I11" s="143">
        <v>40</v>
      </c>
      <c r="J11" s="143">
        <v>85</v>
      </c>
      <c r="K11" s="143">
        <v>80</v>
      </c>
      <c r="L11" s="143">
        <v>70</v>
      </c>
      <c r="M11" s="143">
        <v>2.85</v>
      </c>
      <c r="N11" s="143">
        <v>3.5</v>
      </c>
      <c r="O11" s="145" t="s">
        <v>49</v>
      </c>
      <c r="P11" s="144">
        <v>0</v>
      </c>
      <c r="Q11" s="145">
        <v>473</v>
      </c>
      <c r="R11" s="145">
        <v>0</v>
      </c>
      <c r="S11" s="145">
        <v>0</v>
      </c>
      <c r="T11" s="145">
        <v>473</v>
      </c>
    </row>
    <row r="12" spans="1:39" x14ac:dyDescent="0.35">
      <c r="A12" s="16" t="s">
        <v>40</v>
      </c>
      <c r="B12" s="143" t="s">
        <v>50</v>
      </c>
      <c r="C12" s="143">
        <v>0</v>
      </c>
      <c r="D12" s="143">
        <v>0</v>
      </c>
      <c r="E12" s="143">
        <v>65</v>
      </c>
      <c r="F12" s="143">
        <v>0</v>
      </c>
      <c r="G12" s="143">
        <v>0</v>
      </c>
      <c r="H12" s="143">
        <v>0</v>
      </c>
      <c r="I12" s="143">
        <v>36</v>
      </c>
      <c r="J12" s="143">
        <v>80</v>
      </c>
      <c r="K12" s="143">
        <v>70</v>
      </c>
      <c r="L12" s="143">
        <v>70</v>
      </c>
      <c r="M12" s="143">
        <v>3.2</v>
      </c>
      <c r="N12" s="143">
        <v>3.33</v>
      </c>
      <c r="O12" s="143">
        <v>20</v>
      </c>
      <c r="P12" s="143"/>
      <c r="Q12" s="143">
        <v>2000</v>
      </c>
      <c r="R12" s="143">
        <v>20</v>
      </c>
      <c r="S12" s="143"/>
      <c r="T12" s="143">
        <v>2000</v>
      </c>
    </row>
    <row r="13" spans="1:39" x14ac:dyDescent="0.35">
      <c r="A13" s="16" t="s">
        <v>41</v>
      </c>
      <c r="B13" s="143">
        <v>80</v>
      </c>
      <c r="C13" s="143">
        <v>80</v>
      </c>
      <c r="D13" s="143">
        <v>90</v>
      </c>
      <c r="E13" s="143">
        <v>64</v>
      </c>
      <c r="F13" s="143">
        <v>85</v>
      </c>
      <c r="G13" s="144">
        <v>0</v>
      </c>
      <c r="H13" s="144">
        <v>0</v>
      </c>
      <c r="I13" s="143">
        <v>35</v>
      </c>
      <c r="J13" s="143">
        <v>80</v>
      </c>
      <c r="K13" s="143">
        <v>70</v>
      </c>
      <c r="L13" s="143">
        <v>70</v>
      </c>
      <c r="M13" s="143">
        <v>3.2</v>
      </c>
      <c r="N13" s="143">
        <v>3.1</v>
      </c>
      <c r="O13" s="145" t="s">
        <v>49</v>
      </c>
      <c r="P13" s="144">
        <v>0</v>
      </c>
      <c r="Q13" s="145">
        <v>238</v>
      </c>
      <c r="R13" s="145">
        <v>0</v>
      </c>
      <c r="S13" s="145">
        <v>0</v>
      </c>
      <c r="T13" s="145">
        <v>238</v>
      </c>
    </row>
    <row r="14" spans="1:39" x14ac:dyDescent="0.35">
      <c r="A14" s="16" t="s">
        <v>42</v>
      </c>
      <c r="B14" s="143">
        <v>65</v>
      </c>
      <c r="C14" s="143">
        <v>77.25</v>
      </c>
      <c r="D14" s="143">
        <v>75</v>
      </c>
      <c r="E14" s="143">
        <v>61.75</v>
      </c>
      <c r="F14" s="143">
        <v>100</v>
      </c>
      <c r="G14" s="143">
        <v>100</v>
      </c>
      <c r="H14" s="143">
        <v>0</v>
      </c>
      <c r="I14" s="143">
        <v>33.75</v>
      </c>
      <c r="J14" s="143">
        <v>70</v>
      </c>
      <c r="K14" s="143">
        <v>0</v>
      </c>
      <c r="L14" s="143">
        <v>55</v>
      </c>
      <c r="M14" s="143">
        <v>4.5999999999999996</v>
      </c>
      <c r="N14" s="143">
        <v>3.6</v>
      </c>
      <c r="O14" s="143">
        <v>64</v>
      </c>
      <c r="P14" s="143">
        <v>18</v>
      </c>
      <c r="Q14" s="143">
        <v>39915</v>
      </c>
      <c r="R14" s="143">
        <v>64</v>
      </c>
      <c r="S14" s="143">
        <v>18</v>
      </c>
      <c r="T14" s="143">
        <v>39915</v>
      </c>
    </row>
    <row r="15" spans="1:39" x14ac:dyDescent="0.35">
      <c r="A15" s="16" t="s">
        <v>43</v>
      </c>
      <c r="B15" s="143">
        <v>67</v>
      </c>
      <c r="C15" s="143">
        <v>70</v>
      </c>
      <c r="D15" s="143">
        <v>65</v>
      </c>
      <c r="E15" s="143">
        <v>64</v>
      </c>
      <c r="F15" s="143">
        <v>90</v>
      </c>
      <c r="G15" s="143">
        <v>90</v>
      </c>
      <c r="H15" s="143" t="s">
        <v>50</v>
      </c>
      <c r="I15" s="143" t="s">
        <v>50</v>
      </c>
      <c r="J15" s="143">
        <v>80</v>
      </c>
      <c r="K15" s="143">
        <v>85</v>
      </c>
      <c r="L15" s="143">
        <v>65</v>
      </c>
      <c r="M15" s="143">
        <v>3.9</v>
      </c>
      <c r="N15" s="143">
        <v>4</v>
      </c>
      <c r="O15" s="143">
        <v>0</v>
      </c>
      <c r="P15" s="143">
        <v>0</v>
      </c>
      <c r="Q15" s="143">
        <v>180</v>
      </c>
      <c r="R15" s="143">
        <v>0</v>
      </c>
      <c r="S15" s="143">
        <v>0</v>
      </c>
      <c r="T15" s="143">
        <v>180</v>
      </c>
    </row>
    <row r="16" spans="1:39" x14ac:dyDescent="0.35">
      <c r="A16" s="16" t="s">
        <v>44</v>
      </c>
      <c r="B16" s="143">
        <v>68</v>
      </c>
      <c r="C16" s="143">
        <v>70</v>
      </c>
      <c r="D16" s="143">
        <v>69</v>
      </c>
      <c r="E16" s="143">
        <v>60</v>
      </c>
      <c r="F16" s="143">
        <v>90</v>
      </c>
      <c r="G16" s="143" t="s">
        <v>49</v>
      </c>
      <c r="H16" s="143" t="s">
        <v>49</v>
      </c>
      <c r="I16" s="143" t="s">
        <v>49</v>
      </c>
      <c r="J16" s="143">
        <v>80</v>
      </c>
      <c r="K16" s="143">
        <v>85</v>
      </c>
      <c r="L16" s="143">
        <v>75</v>
      </c>
      <c r="M16" s="143">
        <v>4</v>
      </c>
      <c r="N16" s="143">
        <v>4</v>
      </c>
      <c r="O16" s="143">
        <v>0</v>
      </c>
      <c r="P16" s="143">
        <v>0</v>
      </c>
      <c r="Q16" s="143">
        <v>409</v>
      </c>
      <c r="R16" s="143">
        <v>0</v>
      </c>
      <c r="S16" s="143">
        <v>0</v>
      </c>
      <c r="T16" s="143">
        <v>409</v>
      </c>
    </row>
    <row r="17" spans="1:22" x14ac:dyDescent="0.35">
      <c r="A17" s="16" t="s">
        <v>45</v>
      </c>
      <c r="B17" s="143">
        <v>100</v>
      </c>
      <c r="C17" s="143">
        <v>100</v>
      </c>
      <c r="D17" s="143">
        <v>120</v>
      </c>
      <c r="E17" s="143">
        <v>62</v>
      </c>
      <c r="F17" s="143">
        <v>95</v>
      </c>
      <c r="G17" s="143" t="s">
        <v>52</v>
      </c>
      <c r="H17" s="143" t="s">
        <v>52</v>
      </c>
      <c r="I17" s="143" t="s">
        <v>52</v>
      </c>
      <c r="J17" s="143">
        <v>100</v>
      </c>
      <c r="K17" s="143">
        <v>120</v>
      </c>
      <c r="L17" s="143">
        <v>100</v>
      </c>
      <c r="M17" s="143">
        <v>4.3499999999999996</v>
      </c>
      <c r="N17" s="143" t="s">
        <v>52</v>
      </c>
      <c r="O17" s="143" t="s">
        <v>53</v>
      </c>
      <c r="P17" s="143" t="s">
        <v>53</v>
      </c>
      <c r="Q17" s="143" t="s">
        <v>53</v>
      </c>
      <c r="R17" s="143" t="s">
        <v>53</v>
      </c>
      <c r="S17" s="143" t="s">
        <v>53</v>
      </c>
      <c r="T17" s="143">
        <v>20</v>
      </c>
    </row>
    <row r="18" spans="1:22" x14ac:dyDescent="0.35">
      <c r="A18" s="16" t="s">
        <v>46</v>
      </c>
      <c r="B18" s="143">
        <v>80</v>
      </c>
      <c r="C18" s="143">
        <v>90</v>
      </c>
      <c r="D18" s="143">
        <v>80</v>
      </c>
      <c r="E18" s="143">
        <v>64</v>
      </c>
      <c r="F18" s="143">
        <v>100</v>
      </c>
      <c r="G18" s="143">
        <v>0</v>
      </c>
      <c r="H18" s="143">
        <v>0</v>
      </c>
      <c r="I18" s="143">
        <v>0</v>
      </c>
      <c r="J18" s="143">
        <v>80</v>
      </c>
      <c r="K18" s="143">
        <v>100</v>
      </c>
      <c r="L18" s="143">
        <v>80</v>
      </c>
      <c r="M18" s="143">
        <v>5</v>
      </c>
      <c r="N18" s="143">
        <v>4</v>
      </c>
      <c r="O18" s="143">
        <v>0</v>
      </c>
      <c r="P18" s="143">
        <v>0</v>
      </c>
      <c r="Q18" s="143">
        <v>88</v>
      </c>
      <c r="R18" s="143">
        <v>0</v>
      </c>
      <c r="S18" s="143">
        <v>0</v>
      </c>
      <c r="T18" s="143">
        <v>88</v>
      </c>
    </row>
    <row r="19" spans="1:22" x14ac:dyDescent="0.35">
      <c r="A19" s="16" t="s">
        <v>47</v>
      </c>
      <c r="B19" s="143" t="s">
        <v>49</v>
      </c>
      <c r="C19" s="143" t="s">
        <v>49</v>
      </c>
      <c r="D19" s="143" t="s">
        <v>49</v>
      </c>
      <c r="E19" s="143">
        <v>60</v>
      </c>
      <c r="F19" s="143">
        <v>65</v>
      </c>
      <c r="G19" s="143" t="s">
        <v>49</v>
      </c>
      <c r="H19" s="143">
        <v>33</v>
      </c>
      <c r="I19" s="143">
        <v>40</v>
      </c>
      <c r="J19" s="143">
        <v>100</v>
      </c>
      <c r="K19" s="143" t="s">
        <v>49</v>
      </c>
      <c r="L19" s="143" t="s">
        <v>49</v>
      </c>
      <c r="M19" s="143">
        <v>3.8</v>
      </c>
      <c r="N19" s="143" t="s">
        <v>49</v>
      </c>
      <c r="O19" s="143">
        <v>0</v>
      </c>
      <c r="P19" s="143">
        <v>0</v>
      </c>
      <c r="Q19" s="143">
        <v>0</v>
      </c>
      <c r="R19" s="143">
        <v>0</v>
      </c>
      <c r="S19" s="143">
        <v>0</v>
      </c>
      <c r="T19" s="143">
        <v>0</v>
      </c>
    </row>
    <row r="20" spans="1:22" s="4" customFormat="1" ht="21" hidden="1" customHeight="1" x14ac:dyDescent="0.35">
      <c r="A20" s="9"/>
      <c r="B20" s="17">
        <f>SUM(B9:B19)</f>
        <v>665</v>
      </c>
      <c r="C20" s="17">
        <f t="shared" ref="C20:D20" si="0">SUM(C9:C19)</f>
        <v>721.25</v>
      </c>
      <c r="D20" s="17">
        <f t="shared" si="0"/>
        <v>713</v>
      </c>
      <c r="E20" s="17">
        <f>SUM(E9:E19)</f>
        <v>688.75</v>
      </c>
      <c r="F20" s="17">
        <f t="shared" ref="F20:T20" si="1">SUM(F9:F19)</f>
        <v>868</v>
      </c>
      <c r="G20" s="17">
        <f t="shared" si="1"/>
        <v>190</v>
      </c>
      <c r="H20" s="17">
        <f t="shared" si="1"/>
        <v>71</v>
      </c>
      <c r="I20" s="17">
        <f t="shared" si="1"/>
        <v>229.75</v>
      </c>
      <c r="J20" s="17">
        <f t="shared" si="1"/>
        <v>909</v>
      </c>
      <c r="K20" s="17">
        <f t="shared" si="1"/>
        <v>755</v>
      </c>
      <c r="L20" s="17">
        <f t="shared" si="1"/>
        <v>733</v>
      </c>
      <c r="M20" s="17">
        <f t="shared" si="1"/>
        <v>42.4</v>
      </c>
      <c r="N20" s="17">
        <f t="shared" si="1"/>
        <v>34.230000000000004</v>
      </c>
      <c r="O20" s="17">
        <f t="shared" si="1"/>
        <v>104</v>
      </c>
      <c r="P20" s="17">
        <f t="shared" si="1"/>
        <v>18</v>
      </c>
      <c r="Q20" s="17">
        <f t="shared" si="1"/>
        <v>45394</v>
      </c>
      <c r="R20" s="17">
        <f t="shared" si="1"/>
        <v>104</v>
      </c>
      <c r="S20" s="17">
        <f t="shared" si="1"/>
        <v>18</v>
      </c>
      <c r="T20" s="17">
        <f t="shared" si="1"/>
        <v>45414</v>
      </c>
      <c r="U20" s="3"/>
      <c r="V20" s="2"/>
    </row>
    <row r="21" spans="1:22" s="4" customFormat="1" x14ac:dyDescent="0.35">
      <c r="A21" s="9" t="s">
        <v>26</v>
      </c>
      <c r="B21" s="11">
        <f>665/10</f>
        <v>66.5</v>
      </c>
      <c r="C21" s="11">
        <f>C20/10</f>
        <v>72.125</v>
      </c>
      <c r="D21" s="11">
        <f>D20/10</f>
        <v>71.3</v>
      </c>
      <c r="E21" s="11">
        <f>E20/11</f>
        <v>62.613636363636367</v>
      </c>
      <c r="F21" s="11">
        <f>F20/11</f>
        <v>78.909090909090907</v>
      </c>
      <c r="G21" s="11">
        <f>190/2</f>
        <v>95</v>
      </c>
      <c r="H21" s="12">
        <f>71/2</f>
        <v>35.5</v>
      </c>
      <c r="I21" s="11">
        <f>230/6</f>
        <v>38.333333333333336</v>
      </c>
      <c r="J21" s="11">
        <f>J20/11</f>
        <v>82.63636363636364</v>
      </c>
      <c r="K21" s="11">
        <f>K20/10</f>
        <v>75.5</v>
      </c>
      <c r="L21" s="11">
        <f>L20/10</f>
        <v>73.3</v>
      </c>
      <c r="M21" s="11">
        <f>M20/11</f>
        <v>3.8545454545454545</v>
      </c>
      <c r="N21" s="14">
        <f>34/9</f>
        <v>3.7777777777777777</v>
      </c>
      <c r="O21" s="17">
        <v>104</v>
      </c>
      <c r="P21" s="17">
        <v>18</v>
      </c>
      <c r="Q21" s="17">
        <v>45394</v>
      </c>
      <c r="R21" s="17">
        <v>104</v>
      </c>
      <c r="S21" s="17">
        <v>18</v>
      </c>
      <c r="T21" s="17">
        <v>45414</v>
      </c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45" right="0.2" top="0.48" bottom="0.75" header="0.3" footer="0.3"/>
  <pageSetup paperSize="9" scale="8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34"/>
  <sheetViews>
    <sheetView workbookViewId="0">
      <selection activeCell="A4" sqref="A4:T4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8.25" style="10" customWidth="1"/>
    <col min="7" max="7" width="8.1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75" style="10" customWidth="1"/>
    <col min="15" max="15" width="4.625" style="10" customWidth="1"/>
    <col min="16" max="16" width="5.5" style="10" customWidth="1"/>
    <col min="17" max="17" width="7.5" style="10" bestFit="1" customWidth="1"/>
    <col min="18" max="18" width="4.875" style="10" customWidth="1"/>
    <col min="19" max="19" width="5.875" style="10" customWidth="1"/>
    <col min="20" max="20" width="7.1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59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16" t="s">
        <v>37</v>
      </c>
      <c r="B9" s="42"/>
      <c r="C9" s="42"/>
      <c r="D9" s="42"/>
      <c r="E9" s="42"/>
      <c r="F9" s="42"/>
      <c r="G9" s="43"/>
      <c r="H9" s="46"/>
      <c r="I9" s="42"/>
      <c r="J9" s="42"/>
      <c r="K9" s="42"/>
      <c r="L9" s="42"/>
      <c r="M9" s="42"/>
      <c r="N9" s="42"/>
      <c r="O9" s="45"/>
      <c r="P9" s="43"/>
      <c r="Q9" s="45"/>
      <c r="R9" s="45"/>
      <c r="S9" s="44"/>
      <c r="T9" s="45"/>
    </row>
    <row r="10" spans="1:39" x14ac:dyDescent="0.35">
      <c r="A10" s="16" t="s">
        <v>38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39" x14ac:dyDescent="0.35">
      <c r="A11" s="16" t="s">
        <v>39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39" x14ac:dyDescent="0.35">
      <c r="A12" s="16" t="s">
        <v>40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</row>
    <row r="13" spans="1:39" x14ac:dyDescent="0.35">
      <c r="A13" s="16" t="s">
        <v>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39" x14ac:dyDescent="0.35">
      <c r="A14" s="16" t="s">
        <v>42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39" x14ac:dyDescent="0.35">
      <c r="A15" s="16" t="s">
        <v>43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39" x14ac:dyDescent="0.35">
      <c r="A16" s="16" t="s">
        <v>44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spans="1:22" x14ac:dyDescent="0.35">
      <c r="A17" s="16" t="s">
        <v>45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</row>
    <row r="18" spans="1:22" x14ac:dyDescent="0.35">
      <c r="A18" s="16" t="s">
        <v>46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</row>
    <row r="19" spans="1:22" x14ac:dyDescent="0.35">
      <c r="A19" s="16" t="s">
        <v>47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1:22" s="4" customFormat="1" ht="23.25" customHeight="1" x14ac:dyDescent="0.35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"/>
      <c r="V20" s="2"/>
    </row>
    <row r="21" spans="1:22" s="4" customFormat="1" x14ac:dyDescent="0.35">
      <c r="A21" s="9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21"/>
      <c r="O21" s="18"/>
      <c r="P21" s="20"/>
      <c r="Q21" s="20"/>
      <c r="R21" s="20"/>
      <c r="S21" s="20"/>
      <c r="T21" s="18"/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scale="8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34"/>
  <sheetViews>
    <sheetView workbookViewId="0">
      <selection activeCell="A4" sqref="A4:T4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8.25" style="10" customWidth="1"/>
    <col min="7" max="7" width="8.1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75" style="10" customWidth="1"/>
    <col min="15" max="15" width="4.625" style="10" customWidth="1"/>
    <col min="16" max="16" width="5.5" style="10" customWidth="1"/>
    <col min="17" max="17" width="7.5" style="10" bestFit="1" customWidth="1"/>
    <col min="18" max="18" width="4.875" style="10" customWidth="1"/>
    <col min="19" max="19" width="5.875" style="10" customWidth="1"/>
    <col min="20" max="20" width="7.1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60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4.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16" t="s">
        <v>37</v>
      </c>
      <c r="B9" s="54"/>
      <c r="C9" s="54"/>
      <c r="D9" s="54"/>
      <c r="E9" s="54"/>
      <c r="F9" s="54"/>
      <c r="G9" s="52"/>
      <c r="H9" s="56"/>
      <c r="I9" s="54"/>
      <c r="J9" s="54"/>
      <c r="K9" s="54"/>
      <c r="L9" s="54"/>
      <c r="M9" s="54"/>
      <c r="N9" s="54"/>
      <c r="O9" s="55"/>
      <c r="P9" s="52"/>
      <c r="Q9" s="55"/>
      <c r="R9" s="55"/>
      <c r="S9" s="53"/>
      <c r="T9" s="55"/>
    </row>
    <row r="10" spans="1:39" x14ac:dyDescent="0.35">
      <c r="A10" s="16" t="s">
        <v>38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39" x14ac:dyDescent="0.35">
      <c r="A11" s="16" t="s">
        <v>39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39" x14ac:dyDescent="0.35">
      <c r="A12" s="16" t="s">
        <v>40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39" x14ac:dyDescent="0.35">
      <c r="A13" s="16" t="s">
        <v>41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39" x14ac:dyDescent="0.35">
      <c r="A14" s="16" t="s">
        <v>42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39" x14ac:dyDescent="0.35">
      <c r="A15" s="16" t="s">
        <v>43</v>
      </c>
      <c r="B15" s="49"/>
      <c r="C15" s="49"/>
      <c r="D15" s="49"/>
      <c r="E15" s="49"/>
      <c r="F15" s="49"/>
      <c r="G15" s="49"/>
      <c r="H15" s="49"/>
      <c r="I15" s="49"/>
      <c r="J15" s="51"/>
      <c r="K15" s="49"/>
      <c r="L15" s="49"/>
      <c r="M15" s="49"/>
      <c r="N15" s="49"/>
      <c r="O15" s="49"/>
      <c r="P15" s="49"/>
      <c r="Q15" s="50"/>
      <c r="R15" s="49"/>
      <c r="S15" s="49"/>
      <c r="T15" s="47"/>
    </row>
    <row r="16" spans="1:39" x14ac:dyDescent="0.35">
      <c r="A16" s="16" t="s">
        <v>44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1:22" x14ac:dyDescent="0.35">
      <c r="A17" s="16" t="s">
        <v>45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2" x14ac:dyDescent="0.35">
      <c r="A18" s="16" t="s">
        <v>46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2" x14ac:dyDescent="0.35">
      <c r="A19" s="16" t="s">
        <v>47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2" s="4" customFormat="1" ht="20.25" hidden="1" customHeight="1" x14ac:dyDescent="0.35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"/>
      <c r="V20" s="2"/>
    </row>
    <row r="21" spans="1:22" s="4" customFormat="1" x14ac:dyDescent="0.35">
      <c r="A21" s="9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21"/>
      <c r="O21" s="18"/>
      <c r="P21" s="20"/>
      <c r="Q21" s="20"/>
      <c r="R21" s="20"/>
      <c r="S21" s="20"/>
      <c r="T21" s="18"/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scale="80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36"/>
  <sheetViews>
    <sheetView topLeftCell="A4" workbookViewId="0">
      <selection activeCell="A4" sqref="A4:T4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7.375" style="10" customWidth="1"/>
    <col min="7" max="7" width="7.6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75" style="10" customWidth="1"/>
    <col min="15" max="15" width="4.625" style="10" customWidth="1"/>
    <col min="16" max="16" width="5.5" style="10" customWidth="1"/>
    <col min="17" max="17" width="11.25" style="10" bestFit="1" customWidth="1"/>
    <col min="18" max="18" width="4.875" style="10" customWidth="1"/>
    <col min="19" max="19" width="5.875" style="10" customWidth="1"/>
    <col min="20" max="20" width="7.1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61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16" t="s">
        <v>37</v>
      </c>
      <c r="B9" s="61"/>
      <c r="C9" s="61"/>
      <c r="D9" s="61"/>
      <c r="E9" s="61"/>
      <c r="F9" s="61"/>
      <c r="G9" s="58"/>
      <c r="H9" s="63"/>
      <c r="I9" s="61"/>
      <c r="J9" s="61"/>
      <c r="K9" s="61"/>
      <c r="L9" s="61"/>
      <c r="M9" s="61"/>
      <c r="N9" s="61"/>
      <c r="O9" s="62"/>
      <c r="P9" s="58"/>
      <c r="Q9" s="62"/>
      <c r="R9" s="62"/>
      <c r="S9" s="59"/>
      <c r="T9" s="62"/>
    </row>
    <row r="10" spans="1:39" x14ac:dyDescent="0.35">
      <c r="A10" s="16" t="s">
        <v>38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39" x14ac:dyDescent="0.35">
      <c r="A11" s="16" t="s">
        <v>39</v>
      </c>
      <c r="B11" s="58"/>
      <c r="C11" s="58"/>
      <c r="D11" s="57"/>
      <c r="E11" s="59"/>
      <c r="F11" s="58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2"/>
      <c r="S11" s="62"/>
      <c r="T11" s="62"/>
    </row>
    <row r="12" spans="1:39" x14ac:dyDescent="0.35">
      <c r="A12" s="16" t="s">
        <v>40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63"/>
      <c r="P12" s="58"/>
      <c r="Q12" s="58"/>
      <c r="R12" s="63"/>
      <c r="S12" s="63"/>
      <c r="T12" s="63"/>
    </row>
    <row r="13" spans="1:39" x14ac:dyDescent="0.35">
      <c r="A13" s="16" t="s">
        <v>41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63"/>
      <c r="S13" s="63"/>
      <c r="T13" s="63"/>
    </row>
    <row r="14" spans="1:39" x14ac:dyDescent="0.35">
      <c r="A14" s="16" t="s">
        <v>42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63"/>
      <c r="P14" s="63"/>
      <c r="Q14" s="63"/>
      <c r="R14" s="63"/>
      <c r="S14" s="63"/>
      <c r="T14" s="60"/>
    </row>
    <row r="15" spans="1:39" x14ac:dyDescent="0.35">
      <c r="A15" s="16" t="s">
        <v>43</v>
      </c>
      <c r="B15" s="24"/>
      <c r="C15" s="24"/>
      <c r="D15" s="24"/>
      <c r="E15" s="24"/>
      <c r="F15" s="24"/>
      <c r="G15" s="24"/>
      <c r="H15" s="24"/>
      <c r="I15" s="24"/>
      <c r="J15" s="65"/>
      <c r="K15" s="24"/>
      <c r="L15" s="24"/>
      <c r="M15" s="24"/>
      <c r="N15" s="24"/>
      <c r="O15" s="24"/>
      <c r="P15" s="24"/>
      <c r="Q15" s="64"/>
      <c r="R15" s="34"/>
      <c r="S15" s="34"/>
      <c r="T15" s="34"/>
    </row>
    <row r="16" spans="1:39" x14ac:dyDescent="0.35">
      <c r="A16" s="16" t="s">
        <v>44</v>
      </c>
      <c r="B16" s="31"/>
      <c r="C16" s="31"/>
      <c r="D16" s="31"/>
      <c r="E16" s="31"/>
      <c r="F16" s="67"/>
      <c r="G16" s="66"/>
      <c r="H16" s="66"/>
      <c r="I16" s="66"/>
      <c r="J16" s="31"/>
      <c r="K16" s="31"/>
      <c r="L16" s="31"/>
      <c r="M16" s="31"/>
      <c r="N16" s="31"/>
      <c r="O16" s="66"/>
      <c r="P16" s="66"/>
      <c r="Q16" s="66"/>
      <c r="R16" s="66"/>
      <c r="S16" s="66"/>
      <c r="T16" s="60"/>
    </row>
    <row r="17" spans="1:22" x14ac:dyDescent="0.35">
      <c r="A17" s="16" t="s">
        <v>45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2" x14ac:dyDescent="0.35">
      <c r="A18" s="16" t="s">
        <v>46</v>
      </c>
      <c r="B18" s="71"/>
      <c r="C18" s="71"/>
      <c r="D18" s="71"/>
      <c r="E18" s="71"/>
      <c r="F18" s="67"/>
      <c r="G18" s="66"/>
      <c r="H18" s="66"/>
      <c r="I18" s="66"/>
      <c r="J18" s="70"/>
      <c r="K18" s="70"/>
      <c r="L18" s="70"/>
      <c r="M18" s="70"/>
      <c r="N18" s="70"/>
      <c r="O18" s="66"/>
      <c r="P18" s="66"/>
      <c r="Q18" s="66"/>
      <c r="R18" s="66"/>
      <c r="S18" s="66"/>
      <c r="T18" s="68"/>
    </row>
    <row r="19" spans="1:22" x14ac:dyDescent="0.35">
      <c r="A19" s="16" t="s">
        <v>47</v>
      </c>
      <c r="B19" s="58"/>
      <c r="C19" s="58"/>
      <c r="D19" s="58"/>
      <c r="E19" s="58"/>
      <c r="F19" s="58"/>
      <c r="G19" s="58"/>
      <c r="H19" s="63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</row>
    <row r="20" spans="1:22" s="4" customFormat="1" ht="21" hidden="1" customHeight="1" x14ac:dyDescent="0.35">
      <c r="A20" s="9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3"/>
      <c r="V20" s="2"/>
    </row>
    <row r="21" spans="1:22" s="4" customFormat="1" x14ac:dyDescent="0.35">
      <c r="A21" s="9" t="s">
        <v>26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29"/>
      <c r="Q21" s="30"/>
      <c r="R21" s="29"/>
      <c r="S21" s="29"/>
      <c r="T21" s="30"/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  <c r="S27" s="10">
        <f>9939/9</f>
        <v>1104.3333333333333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4:15" x14ac:dyDescent="0.35">
      <c r="N33" s="5"/>
      <c r="O33" s="5" t="s">
        <v>2</v>
      </c>
    </row>
    <row r="34" spans="4:15" x14ac:dyDescent="0.35">
      <c r="O34" s="5" t="s">
        <v>3</v>
      </c>
    </row>
    <row r="36" spans="4:15" x14ac:dyDescent="0.35">
      <c r="D36" s="72"/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2" right="0.2" top="0.34" bottom="0.2" header="0.3" footer="0.2"/>
  <pageSetup paperSize="9" scale="85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4"/>
  <sheetViews>
    <sheetView zoomScaleNormal="100" workbookViewId="0">
      <selection activeCell="A4" sqref="A4:T4"/>
    </sheetView>
  </sheetViews>
  <sheetFormatPr defaultRowHeight="21" x14ac:dyDescent="0.35"/>
  <cols>
    <col min="1" max="1" width="14" style="10" customWidth="1"/>
    <col min="2" max="2" width="8" style="10" customWidth="1"/>
    <col min="3" max="3" width="8.125" style="10" customWidth="1"/>
    <col min="4" max="4" width="8" style="10" customWidth="1"/>
    <col min="5" max="5" width="7.75" style="10" customWidth="1"/>
    <col min="6" max="6" width="7.375" style="10" customWidth="1"/>
    <col min="7" max="7" width="7.625" style="10" customWidth="1"/>
    <col min="8" max="8" width="5.5" style="10" customWidth="1"/>
    <col min="9" max="9" width="8.875" style="10" customWidth="1"/>
    <col min="10" max="10" width="9.25" style="10" customWidth="1"/>
    <col min="11" max="12" width="7.75" style="10" customWidth="1"/>
    <col min="13" max="13" width="8.375" style="10" customWidth="1"/>
    <col min="14" max="14" width="8.75" style="10" customWidth="1"/>
    <col min="15" max="15" width="4.625" style="10" customWidth="1"/>
    <col min="16" max="16" width="5.5" style="10" customWidth="1"/>
    <col min="17" max="17" width="9.875" style="10" bestFit="1" customWidth="1"/>
    <col min="18" max="18" width="4.875" style="10" customWidth="1"/>
    <col min="19" max="19" width="5.875" style="10" customWidth="1"/>
    <col min="20" max="20" width="7.125" style="10" customWidth="1"/>
    <col min="21" max="39" width="7.5" style="10" customWidth="1"/>
    <col min="40" max="16384" width="9" style="10"/>
  </cols>
  <sheetData>
    <row r="1" spans="1:39" ht="21.75" thickBot="1" x14ac:dyDescent="0.4">
      <c r="C1" s="4"/>
      <c r="D1" s="4"/>
      <c r="E1" s="4"/>
      <c r="F1" s="4"/>
      <c r="G1" s="4"/>
      <c r="H1" s="4"/>
      <c r="I1" s="4"/>
      <c r="J1" s="4"/>
      <c r="K1" s="4"/>
      <c r="L1" s="4"/>
      <c r="S1" s="147" t="s">
        <v>4</v>
      </c>
      <c r="T1" s="148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6.25" x14ac:dyDescent="0.4">
      <c r="A2" s="149" t="s">
        <v>32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26.25" x14ac:dyDescent="0.4">
      <c r="A3" s="149" t="s">
        <v>48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ht="26.25" x14ac:dyDescent="0.4">
      <c r="A4" s="149" t="s">
        <v>62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3.75" customHeight="1" x14ac:dyDescent="0.35"/>
    <row r="6" spans="1:39" x14ac:dyDescent="0.35">
      <c r="A6" s="150" t="s">
        <v>5</v>
      </c>
      <c r="B6" s="153" t="s">
        <v>6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5"/>
      <c r="O6" s="156" t="s">
        <v>30</v>
      </c>
      <c r="P6" s="156"/>
      <c r="Q6" s="156"/>
      <c r="R6" s="156"/>
      <c r="S6" s="156"/>
      <c r="T6" s="156"/>
    </row>
    <row r="7" spans="1:39" x14ac:dyDescent="0.35">
      <c r="A7" s="151"/>
      <c r="B7" s="6" t="s">
        <v>7</v>
      </c>
      <c r="C7" s="6" t="s">
        <v>8</v>
      </c>
      <c r="D7" s="6" t="s">
        <v>9</v>
      </c>
      <c r="E7" s="6" t="s">
        <v>10</v>
      </c>
      <c r="F7" s="6" t="s">
        <v>11</v>
      </c>
      <c r="G7" s="6" t="s">
        <v>12</v>
      </c>
      <c r="H7" s="153" t="s">
        <v>13</v>
      </c>
      <c r="I7" s="155"/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156" t="s">
        <v>19</v>
      </c>
      <c r="P7" s="156"/>
      <c r="Q7" s="156"/>
      <c r="R7" s="156" t="s">
        <v>20</v>
      </c>
      <c r="S7" s="156"/>
      <c r="T7" s="156"/>
    </row>
    <row r="8" spans="1:39" x14ac:dyDescent="0.35">
      <c r="A8" s="152"/>
      <c r="B8" s="7" t="s">
        <v>21</v>
      </c>
      <c r="C8" s="7" t="s">
        <v>21</v>
      </c>
      <c r="D8" s="7" t="s">
        <v>21</v>
      </c>
      <c r="E8" s="7" t="s">
        <v>21</v>
      </c>
      <c r="F8" s="7" t="s">
        <v>21</v>
      </c>
      <c r="G8" s="7" t="s">
        <v>21</v>
      </c>
      <c r="H8" s="7" t="s">
        <v>22</v>
      </c>
      <c r="I8" s="7" t="s">
        <v>23</v>
      </c>
      <c r="J8" s="8" t="s">
        <v>21</v>
      </c>
      <c r="K8" s="7" t="s">
        <v>21</v>
      </c>
      <c r="L8" s="7" t="s">
        <v>21</v>
      </c>
      <c r="M8" s="7" t="s">
        <v>24</v>
      </c>
      <c r="N8" s="7" t="s">
        <v>24</v>
      </c>
      <c r="O8" s="9" t="s">
        <v>25</v>
      </c>
      <c r="P8" s="9" t="s">
        <v>9</v>
      </c>
      <c r="Q8" s="9" t="s">
        <v>10</v>
      </c>
      <c r="R8" s="9" t="s">
        <v>25</v>
      </c>
      <c r="S8" s="9" t="s">
        <v>9</v>
      </c>
      <c r="T8" s="9" t="s">
        <v>10</v>
      </c>
    </row>
    <row r="9" spans="1:39" x14ac:dyDescent="0.35">
      <c r="A9" s="22" t="s">
        <v>37</v>
      </c>
      <c r="B9" s="26"/>
      <c r="C9" s="26"/>
      <c r="D9" s="26"/>
      <c r="E9" s="26"/>
      <c r="F9" s="26"/>
      <c r="G9" s="27"/>
      <c r="H9" s="35"/>
      <c r="I9" s="26"/>
      <c r="J9" s="26"/>
      <c r="K9" s="26"/>
      <c r="L9" s="26"/>
      <c r="M9" s="26"/>
      <c r="N9" s="26"/>
      <c r="O9" s="34"/>
      <c r="P9" s="27"/>
      <c r="Q9" s="34"/>
      <c r="R9" s="34"/>
      <c r="S9" s="24"/>
      <c r="T9" s="34"/>
    </row>
    <row r="10" spans="1:39" x14ac:dyDescent="0.35">
      <c r="A10" s="23" t="s">
        <v>38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39" x14ac:dyDescent="0.35">
      <c r="A11" s="23" t="s">
        <v>39</v>
      </c>
      <c r="B11" s="77"/>
      <c r="C11" s="77"/>
      <c r="D11" s="78"/>
      <c r="E11" s="74"/>
      <c r="F11" s="77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39" x14ac:dyDescent="0.35">
      <c r="A12" s="23" t="s">
        <v>40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</row>
    <row r="13" spans="1:39" x14ac:dyDescent="0.35">
      <c r="A13" s="23" t="s">
        <v>41</v>
      </c>
      <c r="B13" s="74"/>
      <c r="C13" s="74"/>
      <c r="D13" s="74"/>
      <c r="E13" s="74"/>
      <c r="F13" s="74"/>
      <c r="G13" s="77"/>
      <c r="H13" s="77"/>
      <c r="I13" s="74"/>
      <c r="J13" s="74"/>
      <c r="K13" s="74"/>
      <c r="L13" s="74"/>
      <c r="M13" s="74"/>
      <c r="N13" s="74"/>
      <c r="O13" s="74"/>
      <c r="P13" s="77"/>
      <c r="Q13" s="74"/>
      <c r="R13" s="74"/>
      <c r="S13" s="74"/>
      <c r="T13" s="74"/>
    </row>
    <row r="14" spans="1:39" x14ac:dyDescent="0.35">
      <c r="A14" s="23" t="s">
        <v>42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39" x14ac:dyDescent="0.35">
      <c r="A15" s="23" t="s">
        <v>43</v>
      </c>
      <c r="B15" s="74"/>
      <c r="C15" s="74"/>
      <c r="D15" s="74"/>
      <c r="E15" s="74"/>
      <c r="F15" s="73"/>
      <c r="G15" s="73"/>
      <c r="H15" s="73"/>
      <c r="I15" s="73"/>
      <c r="J15" s="79"/>
      <c r="K15" s="73"/>
      <c r="L15" s="73"/>
      <c r="M15" s="74"/>
      <c r="N15" s="74"/>
      <c r="O15" s="74"/>
      <c r="P15" s="74"/>
      <c r="Q15" s="74"/>
      <c r="R15" s="74"/>
      <c r="S15" s="74"/>
      <c r="T15" s="74"/>
    </row>
    <row r="16" spans="1:39" x14ac:dyDescent="0.35">
      <c r="A16" s="23" t="s">
        <v>44</v>
      </c>
      <c r="B16" s="74"/>
      <c r="C16" s="74"/>
      <c r="D16" s="74"/>
      <c r="E16" s="74"/>
      <c r="F16" s="81"/>
      <c r="G16" s="24"/>
      <c r="H16" s="24"/>
      <c r="I16" s="24"/>
      <c r="J16" s="70"/>
      <c r="K16" s="70"/>
      <c r="L16" s="70"/>
      <c r="M16" s="74"/>
      <c r="N16" s="74"/>
      <c r="O16" s="74"/>
      <c r="P16" s="74"/>
      <c r="Q16" s="74"/>
      <c r="R16" s="74"/>
      <c r="S16" s="74"/>
      <c r="T16" s="74"/>
    </row>
    <row r="17" spans="1:22" x14ac:dyDescent="0.35">
      <c r="A17" s="23" t="s">
        <v>45</v>
      </c>
      <c r="B17" s="74"/>
      <c r="C17" s="74"/>
      <c r="D17" s="74"/>
      <c r="E17" s="74"/>
      <c r="F17" s="73"/>
      <c r="G17" s="75"/>
      <c r="H17" s="75"/>
      <c r="I17" s="75"/>
      <c r="J17" s="75"/>
      <c r="K17" s="75"/>
      <c r="L17" s="75"/>
      <c r="M17" s="74"/>
      <c r="N17" s="74"/>
      <c r="O17" s="74"/>
      <c r="P17" s="74"/>
      <c r="Q17" s="74"/>
      <c r="R17" s="74"/>
      <c r="S17" s="74"/>
      <c r="T17" s="74"/>
    </row>
    <row r="18" spans="1:22" x14ac:dyDescent="0.35">
      <c r="A18" s="23" t="s">
        <v>46</v>
      </c>
      <c r="B18" s="73"/>
      <c r="C18" s="73"/>
      <c r="D18" s="73"/>
      <c r="E18" s="73"/>
      <c r="F18" s="73"/>
      <c r="G18" s="74"/>
      <c r="H18" s="74"/>
      <c r="I18" s="74"/>
      <c r="J18" s="80"/>
      <c r="K18" s="80"/>
      <c r="L18" s="80"/>
      <c r="M18" s="80"/>
      <c r="N18" s="80"/>
      <c r="O18" s="74"/>
      <c r="P18" s="74"/>
      <c r="Q18" s="76"/>
      <c r="R18" s="76"/>
      <c r="S18" s="76"/>
      <c r="T18" s="76"/>
    </row>
    <row r="19" spans="1:22" x14ac:dyDescent="0.35">
      <c r="A19" s="25" t="s">
        <v>47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2" s="4" customFormat="1" ht="19.5" customHeight="1" x14ac:dyDescent="0.35">
      <c r="A20" s="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"/>
      <c r="V20" s="2"/>
    </row>
    <row r="21" spans="1:22" s="4" customFormat="1" x14ac:dyDescent="0.35">
      <c r="A21" s="9" t="s">
        <v>26</v>
      </c>
      <c r="B21" s="20">
        <f>740/9</f>
        <v>82.222222222222229</v>
      </c>
      <c r="C21" s="20">
        <f>817/9</f>
        <v>90.777777777777771</v>
      </c>
      <c r="D21" s="20">
        <f>753/9</f>
        <v>83.666666666666671</v>
      </c>
      <c r="E21" s="20">
        <f>755/11</f>
        <v>68.63636363636364</v>
      </c>
      <c r="F21" s="20">
        <f>898/10</f>
        <v>89.8</v>
      </c>
      <c r="G21" s="20">
        <v>100</v>
      </c>
      <c r="H21" s="20">
        <v>33</v>
      </c>
      <c r="I21" s="20">
        <f>236/6</f>
        <v>39.333333333333336</v>
      </c>
      <c r="J21" s="20">
        <f>903/11</f>
        <v>82.090909090909093</v>
      </c>
      <c r="K21" s="20">
        <f>730/9</f>
        <v>81.111111111111114</v>
      </c>
      <c r="L21" s="20">
        <f>775/10</f>
        <v>77.5</v>
      </c>
      <c r="M21" s="19">
        <f>46/11</f>
        <v>4.1818181818181817</v>
      </c>
      <c r="N21" s="21">
        <f>34/9</f>
        <v>3.7777777777777777</v>
      </c>
      <c r="O21" s="18">
        <v>92</v>
      </c>
      <c r="P21" s="18">
        <v>0</v>
      </c>
      <c r="Q21" s="18">
        <v>9509</v>
      </c>
      <c r="R21" s="18">
        <v>96</v>
      </c>
      <c r="S21" s="18">
        <v>0</v>
      </c>
      <c r="T21" s="18">
        <v>10943</v>
      </c>
      <c r="U21" s="3"/>
      <c r="V21" s="2"/>
    </row>
    <row r="22" spans="1:22" x14ac:dyDescent="0.35">
      <c r="A22" s="4" t="s">
        <v>31</v>
      </c>
    </row>
    <row r="23" spans="1:22" x14ac:dyDescent="0.35">
      <c r="A23" s="10" t="s">
        <v>27</v>
      </c>
    </row>
    <row r="24" spans="1:22" x14ac:dyDescent="0.35">
      <c r="A24" s="10" t="s">
        <v>34</v>
      </c>
    </row>
    <row r="25" spans="1:22" x14ac:dyDescent="0.35">
      <c r="A25" s="10" t="s">
        <v>35</v>
      </c>
    </row>
    <row r="26" spans="1:22" x14ac:dyDescent="0.35">
      <c r="A26" s="10" t="s">
        <v>28</v>
      </c>
    </row>
    <row r="27" spans="1:22" x14ac:dyDescent="0.35">
      <c r="A27" s="10" t="s">
        <v>29</v>
      </c>
      <c r="S27" s="10">
        <f>9939/9</f>
        <v>1104.3333333333333</v>
      </c>
    </row>
    <row r="28" spans="1:22" x14ac:dyDescent="0.35">
      <c r="A28" s="10" t="s">
        <v>33</v>
      </c>
    </row>
    <row r="29" spans="1:22" x14ac:dyDescent="0.35">
      <c r="A29" s="10" t="s">
        <v>36</v>
      </c>
    </row>
    <row r="30" spans="1:22" ht="11.25" customHeight="1" x14ac:dyDescent="0.35">
      <c r="N30" s="5"/>
    </row>
    <row r="31" spans="1:22" x14ac:dyDescent="0.35">
      <c r="N31" s="5"/>
      <c r="O31" s="5" t="s">
        <v>0</v>
      </c>
    </row>
    <row r="32" spans="1:22" x14ac:dyDescent="0.35">
      <c r="N32" s="5"/>
      <c r="O32" s="5" t="s">
        <v>1</v>
      </c>
    </row>
    <row r="33" spans="14:15" x14ac:dyDescent="0.35">
      <c r="N33" s="5"/>
      <c r="O33" s="5" t="s">
        <v>2</v>
      </c>
    </row>
    <row r="34" spans="14:15" x14ac:dyDescent="0.35">
      <c r="O34" s="5" t="s">
        <v>3</v>
      </c>
    </row>
  </sheetData>
  <mergeCells count="10">
    <mergeCell ref="S1:T1"/>
    <mergeCell ref="A2:T2"/>
    <mergeCell ref="A3:T3"/>
    <mergeCell ref="A4:T4"/>
    <mergeCell ref="A6:A8"/>
    <mergeCell ref="B6:N6"/>
    <mergeCell ref="O6:T6"/>
    <mergeCell ref="H7:I7"/>
    <mergeCell ref="O7:Q7"/>
    <mergeCell ref="R7:T7"/>
  </mergeCells>
  <pageMargins left="0.12" right="0.12" top="0.33" bottom="0.22" header="0.3" footer="0.3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ต.ค.</vt:lpstr>
      <vt:lpstr>พ.ย.</vt:lpstr>
      <vt:lpstr>ธ.ค.</vt:lpstr>
      <vt:lpstr>ม.ค.</vt:lpstr>
      <vt:lpstr>กพ</vt:lpstr>
      <vt:lpstr>มี.ค</vt:lpstr>
      <vt:lpstr>เมษ</vt:lpstr>
      <vt:lpstr>พ.ค.</vt:lpstr>
      <vt:lpstr>มิ.ย.</vt:lpstr>
      <vt:lpstr>ก.ค.</vt:lpstr>
      <vt:lpstr>ส.ค</vt:lpstr>
      <vt:lpstr>ก.ย.</vt:lpstr>
      <vt:lpstr>ก.ย.!Print_Area</vt:lpstr>
      <vt:lpstr>กพ!Print_Area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</dc:creator>
  <cp:lastModifiedBy>Intel</cp:lastModifiedBy>
  <cp:lastPrinted>2024-01-05T03:00:56Z</cp:lastPrinted>
  <dcterms:created xsi:type="dcterms:W3CDTF">2017-10-27T08:26:57Z</dcterms:created>
  <dcterms:modified xsi:type="dcterms:W3CDTF">2024-03-08T08:03:37Z</dcterms:modified>
</cp:coreProperties>
</file>